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Documents\Ecole La Prairie\2026-27\"/>
    </mc:Choice>
  </mc:AlternateContent>
  <xr:revisionPtr revIDLastSave="0" documentId="13_ncr:1_{4491E03C-AC04-467C-B0AD-F21E49EB9105}" xr6:coauthVersionLast="47" xr6:coauthVersionMax="47" xr10:uidLastSave="{00000000-0000-0000-0000-000000000000}"/>
  <bookViews>
    <workbookView xWindow="-120" yWindow="-120" windowWidth="29040" windowHeight="17640" tabRatio="730" xr2:uid="{00000000-000D-0000-FFFF-FFFF00000000}"/>
  </bookViews>
  <sheets>
    <sheet name="Estimation des frais" sheetId="1" r:id="rId1"/>
    <sheet name="Scolarité" sheetId="8" r:id="rId2"/>
    <sheet name="Pédagogique" sheetId="9" r:id="rId3"/>
    <sheet name="Séjour" sheetId="10" r:id="rId4"/>
    <sheet name="Cantine" sheetId="14" r:id="rId5"/>
    <sheet name="ALAE primaire" sheetId="12" r:id="rId6"/>
    <sheet name="ALSH primaire" sheetId="7" r:id="rId7"/>
    <sheet name="Config" sheetId="13" state="hidden" r:id="rId8"/>
  </sheets>
  <definedNames>
    <definedName name="_">'Estimation des frais'!#REF!</definedName>
    <definedName name="Niveau_Classe">'Estimation des frais'!#REF!</definedName>
    <definedName name="Oui_Non">'Estimation des frais'!#REF!</definedName>
    <definedName name="PAS_DE_CLASSE">'Estimation des frais'!#REF!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8" i="1"/>
  <c r="E25" i="1"/>
  <c r="E24" i="1"/>
  <c r="M12" i="14"/>
  <c r="M13" i="14"/>
  <c r="M14" i="14"/>
  <c r="M15" i="14"/>
  <c r="M16" i="14"/>
  <c r="M17" i="14"/>
  <c r="M18" i="14"/>
  <c r="M19" i="14"/>
  <c r="M20" i="14"/>
  <c r="M21" i="14"/>
  <c r="M22" i="14"/>
  <c r="M23" i="14"/>
  <c r="M24" i="14"/>
  <c r="M25" i="14"/>
  <c r="M26" i="14"/>
  <c r="M27" i="14"/>
  <c r="M28" i="14"/>
  <c r="M29" i="14"/>
  <c r="M30" i="14"/>
  <c r="M31" i="14"/>
  <c r="M32" i="14"/>
  <c r="M11" i="14"/>
  <c r="L12" i="14"/>
  <c r="N12" i="14" s="1"/>
  <c r="L13" i="14"/>
  <c r="N13" i="14" s="1"/>
  <c r="L14" i="14"/>
  <c r="N14" i="14" s="1"/>
  <c r="L15" i="14"/>
  <c r="N15" i="14" s="1"/>
  <c r="L16" i="14"/>
  <c r="N16" i="14" s="1"/>
  <c r="L17" i="14"/>
  <c r="N17" i="14" s="1"/>
  <c r="L18" i="14"/>
  <c r="N18" i="14" s="1"/>
  <c r="L19" i="14"/>
  <c r="N19" i="14" s="1"/>
  <c r="L20" i="14"/>
  <c r="N20" i="14" s="1"/>
  <c r="L21" i="14"/>
  <c r="N21" i="14" s="1"/>
  <c r="L22" i="14"/>
  <c r="N22" i="14" s="1"/>
  <c r="L23" i="14"/>
  <c r="N23" i="14" s="1"/>
  <c r="L24" i="14"/>
  <c r="N24" i="14" s="1"/>
  <c r="L25" i="14"/>
  <c r="N25" i="14" s="1"/>
  <c r="L26" i="14"/>
  <c r="N26" i="14" s="1"/>
  <c r="L27" i="14"/>
  <c r="N27" i="14" s="1"/>
  <c r="L28" i="14"/>
  <c r="N28" i="14" s="1"/>
  <c r="L29" i="14"/>
  <c r="N29" i="14" s="1"/>
  <c r="L30" i="14"/>
  <c r="N30" i="14" s="1"/>
  <c r="L31" i="14"/>
  <c r="N31" i="14" s="1"/>
  <c r="L32" i="14"/>
  <c r="N32" i="14" s="1"/>
  <c r="L11" i="14"/>
  <c r="N11" i="14" s="1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11" i="14"/>
  <c r="D12" i="14"/>
  <c r="F12" i="14" s="1"/>
  <c r="D13" i="14"/>
  <c r="F13" i="14" s="1"/>
  <c r="D14" i="14"/>
  <c r="F14" i="14" s="1"/>
  <c r="D15" i="14"/>
  <c r="F15" i="14" s="1"/>
  <c r="D16" i="14"/>
  <c r="F16" i="14" s="1"/>
  <c r="D17" i="14"/>
  <c r="F17" i="14" s="1"/>
  <c r="D18" i="14"/>
  <c r="F18" i="14" s="1"/>
  <c r="D19" i="14"/>
  <c r="F19" i="14" s="1"/>
  <c r="D20" i="14"/>
  <c r="F20" i="14" s="1"/>
  <c r="D21" i="14"/>
  <c r="F21" i="14" s="1"/>
  <c r="D22" i="14"/>
  <c r="F22" i="14" s="1"/>
  <c r="D23" i="14"/>
  <c r="F23" i="14" s="1"/>
  <c r="D24" i="14"/>
  <c r="F24" i="14" s="1"/>
  <c r="D25" i="14"/>
  <c r="F25" i="14" s="1"/>
  <c r="D26" i="14"/>
  <c r="F26" i="14" s="1"/>
  <c r="D27" i="14"/>
  <c r="F27" i="14" s="1"/>
  <c r="D28" i="14"/>
  <c r="F28" i="14" s="1"/>
  <c r="D29" i="14"/>
  <c r="F29" i="14" s="1"/>
  <c r="D30" i="14"/>
  <c r="F30" i="14" s="1"/>
  <c r="D31" i="14"/>
  <c r="F31" i="14" s="1"/>
  <c r="D32" i="14"/>
  <c r="F32" i="14" s="1"/>
  <c r="D11" i="14"/>
  <c r="F11" i="14" s="1"/>
  <c r="D4" i="14"/>
  <c r="D3" i="14"/>
  <c r="C5" i="14"/>
  <c r="C41" i="1"/>
  <c r="C43" i="1"/>
  <c r="E42" i="1"/>
  <c r="E3" i="12"/>
  <c r="D28" i="12"/>
  <c r="E28" i="12"/>
  <c r="F28" i="12" s="1"/>
  <c r="G28" i="12"/>
  <c r="H28" i="12"/>
  <c r="I28" i="12"/>
  <c r="J28" i="12" s="1"/>
  <c r="D27" i="12"/>
  <c r="E27" i="12"/>
  <c r="F27" i="12"/>
  <c r="G27" i="12"/>
  <c r="H27" i="12" s="1"/>
  <c r="I27" i="12"/>
  <c r="J27" i="12"/>
  <c r="D26" i="12"/>
  <c r="E26" i="12"/>
  <c r="F26" i="12"/>
  <c r="G26" i="12"/>
  <c r="H26" i="12" s="1"/>
  <c r="I26" i="12"/>
  <c r="J26" i="12"/>
  <c r="D25" i="12"/>
  <c r="E25" i="12"/>
  <c r="F25" i="12" s="1"/>
  <c r="G25" i="12"/>
  <c r="H25" i="12"/>
  <c r="I25" i="12"/>
  <c r="J25" i="12" s="1"/>
  <c r="D5" i="14" l="1"/>
  <c r="B73" i="1"/>
  <c r="B65" i="1"/>
  <c r="B57" i="1"/>
  <c r="B49" i="1"/>
  <c r="G3" i="13"/>
  <c r="D57" i="1" s="1"/>
  <c r="G4" i="13"/>
  <c r="G5" i="13"/>
  <c r="G2" i="13"/>
  <c r="E4" i="12"/>
  <c r="F4" i="12" s="1"/>
  <c r="E5" i="12"/>
  <c r="F5" i="12" s="1"/>
  <c r="E6" i="12"/>
  <c r="F6" i="12" s="1"/>
  <c r="E7" i="12"/>
  <c r="F7" i="12" s="1"/>
  <c r="E8" i="12"/>
  <c r="F8" i="12" s="1"/>
  <c r="E9" i="12"/>
  <c r="F9" i="12" s="1"/>
  <c r="E10" i="12"/>
  <c r="F10" i="12" s="1"/>
  <c r="E11" i="12"/>
  <c r="F11" i="12" s="1"/>
  <c r="E12" i="12"/>
  <c r="F12" i="12" s="1"/>
  <c r="E13" i="12"/>
  <c r="F13" i="12" s="1"/>
  <c r="E14" i="12"/>
  <c r="F14" i="12" s="1"/>
  <c r="E15" i="12"/>
  <c r="F15" i="12" s="1"/>
  <c r="E16" i="12"/>
  <c r="F16" i="12" s="1"/>
  <c r="E17" i="12"/>
  <c r="F17" i="12" s="1"/>
  <c r="E18" i="12"/>
  <c r="F18" i="12" s="1"/>
  <c r="E19" i="12"/>
  <c r="F19" i="12" s="1"/>
  <c r="E20" i="12"/>
  <c r="E21" i="12"/>
  <c r="E22" i="12"/>
  <c r="F22" i="12" s="1"/>
  <c r="E23" i="12"/>
  <c r="F23" i="12" s="1"/>
  <c r="E24" i="12"/>
  <c r="F24" i="12" s="1"/>
  <c r="F3" i="12"/>
  <c r="F20" i="12"/>
  <c r="F21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G9" i="13"/>
  <c r="G8" i="13"/>
  <c r="D49" i="1" l="1"/>
  <c r="C49" i="1"/>
  <c r="H2" i="13"/>
  <c r="C73" i="1"/>
  <c r="C57" i="1"/>
  <c r="C65" i="1"/>
  <c r="D65" i="1"/>
  <c r="D73" i="1"/>
  <c r="D72" i="1"/>
  <c r="C48" i="1"/>
  <c r="D48" i="1"/>
  <c r="C72" i="1"/>
  <c r="I2" i="13" l="1"/>
  <c r="H3" i="13"/>
  <c r="C50" i="1" l="1"/>
  <c r="D50" i="1"/>
  <c r="I3" i="13"/>
  <c r="H4" i="13"/>
  <c r="I4" i="13" l="1"/>
  <c r="H5" i="13"/>
  <c r="I5" i="13" s="1"/>
  <c r="D74" i="1"/>
  <c r="C74" i="1"/>
  <c r="D71" i="1"/>
  <c r="C71" i="1"/>
  <c r="E41" i="1" l="1"/>
  <c r="E43" i="1"/>
  <c r="B45" i="1"/>
  <c r="B50" i="1"/>
  <c r="B53" i="1"/>
  <c r="B58" i="1"/>
  <c r="B61" i="1"/>
  <c r="B66" i="1"/>
  <c r="B69" i="1"/>
  <c r="B74" i="1"/>
  <c r="I4" i="12"/>
  <c r="J4" i="12" s="1"/>
  <c r="I5" i="12"/>
  <c r="J5" i="12" s="1"/>
  <c r="I6" i="12"/>
  <c r="J6" i="12" s="1"/>
  <c r="I7" i="12"/>
  <c r="J7" i="12" s="1"/>
  <c r="I8" i="12"/>
  <c r="J8" i="12" s="1"/>
  <c r="I9" i="12"/>
  <c r="J9" i="12" s="1"/>
  <c r="I10" i="12"/>
  <c r="J10" i="12" s="1"/>
  <c r="I11" i="12"/>
  <c r="J11" i="12" s="1"/>
  <c r="I12" i="12"/>
  <c r="J12" i="12" s="1"/>
  <c r="I13" i="12"/>
  <c r="J13" i="12" s="1"/>
  <c r="I14" i="12"/>
  <c r="J14" i="12" s="1"/>
  <c r="I15" i="12"/>
  <c r="J15" i="12" s="1"/>
  <c r="I16" i="12"/>
  <c r="J16" i="12" s="1"/>
  <c r="I17" i="12"/>
  <c r="J17" i="12" s="1"/>
  <c r="I18" i="12"/>
  <c r="J18" i="12" s="1"/>
  <c r="I19" i="12"/>
  <c r="J19" i="12" s="1"/>
  <c r="I20" i="12"/>
  <c r="J20" i="12" s="1"/>
  <c r="I21" i="12"/>
  <c r="J21" i="12" s="1"/>
  <c r="I22" i="12"/>
  <c r="J22" i="12" s="1"/>
  <c r="I23" i="12"/>
  <c r="J23" i="12" s="1"/>
  <c r="I24" i="12"/>
  <c r="J24" i="12" s="1"/>
  <c r="I3" i="12"/>
  <c r="J3" i="12" s="1"/>
  <c r="G4" i="12"/>
  <c r="H4" i="12" s="1"/>
  <c r="G5" i="12"/>
  <c r="H5" i="12" s="1"/>
  <c r="G6" i="12"/>
  <c r="H6" i="12" s="1"/>
  <c r="G7" i="12"/>
  <c r="H7" i="12" s="1"/>
  <c r="G8" i="12"/>
  <c r="H8" i="12" s="1"/>
  <c r="G9" i="12"/>
  <c r="H9" i="12" s="1"/>
  <c r="G10" i="12"/>
  <c r="H10" i="12" s="1"/>
  <c r="G11" i="12"/>
  <c r="H11" i="12" s="1"/>
  <c r="G12" i="12"/>
  <c r="H12" i="12" s="1"/>
  <c r="G13" i="12"/>
  <c r="H13" i="12" s="1"/>
  <c r="G14" i="12"/>
  <c r="H14" i="12" s="1"/>
  <c r="G15" i="12"/>
  <c r="H15" i="12" s="1"/>
  <c r="G16" i="12"/>
  <c r="H16" i="12" s="1"/>
  <c r="G17" i="12"/>
  <c r="H17" i="12" s="1"/>
  <c r="G18" i="12"/>
  <c r="H18" i="12" s="1"/>
  <c r="G19" i="12"/>
  <c r="H19" i="12" s="1"/>
  <c r="G20" i="12"/>
  <c r="H20" i="12" s="1"/>
  <c r="G21" i="12"/>
  <c r="H21" i="12" s="1"/>
  <c r="G22" i="12"/>
  <c r="H22" i="12" s="1"/>
  <c r="G23" i="12"/>
  <c r="H23" i="12" s="1"/>
  <c r="G24" i="12"/>
  <c r="H24" i="12" s="1"/>
  <c r="G3" i="12"/>
  <c r="H3" i="12" s="1"/>
  <c r="C4" i="10"/>
  <c r="C3" i="10"/>
  <c r="C4" i="9"/>
  <c r="C5" i="9"/>
  <c r="C6" i="9"/>
  <c r="C3" i="9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3" i="8"/>
  <c r="E26" i="1"/>
  <c r="C64" i="1" l="1"/>
  <c r="C56" i="1"/>
  <c r="D64" i="1"/>
  <c r="D56" i="1"/>
  <c r="C63" i="1"/>
  <c r="D63" i="1"/>
  <c r="C55" i="1"/>
  <c r="D55" i="1"/>
  <c r="C47" i="1"/>
  <c r="D47" i="1"/>
  <c r="C58" i="1"/>
  <c r="C66" i="1"/>
  <c r="D58" i="1"/>
  <c r="D66" i="1"/>
  <c r="C46" i="1"/>
  <c r="D46" i="1"/>
  <c r="D54" i="1"/>
  <c r="D62" i="1"/>
  <c r="D70" i="1"/>
  <c r="C54" i="1"/>
  <c r="C62" i="1"/>
  <c r="C70" i="1"/>
  <c r="E55" i="1" l="1"/>
  <c r="E56" i="1"/>
  <c r="D51" i="1"/>
  <c r="D59" i="1"/>
  <c r="C67" i="1"/>
  <c r="C51" i="1"/>
  <c r="C59" i="1"/>
  <c r="E54" i="1"/>
  <c r="D75" i="1"/>
  <c r="C75" i="1"/>
  <c r="D67" i="1"/>
  <c r="E65" i="1"/>
  <c r="E72" i="1"/>
  <c r="E73" i="1"/>
  <c r="E70" i="1"/>
  <c r="E48" i="1"/>
  <c r="E47" i="1"/>
  <c r="E63" i="1"/>
  <c r="E64" i="1"/>
  <c r="E71" i="1"/>
  <c r="E62" i="1"/>
  <c r="E46" i="1"/>
  <c r="C35" i="1" l="1"/>
  <c r="C36" i="1" s="1"/>
  <c r="D35" i="1"/>
  <c r="D36" i="1" s="1"/>
  <c r="E74" i="1"/>
  <c r="E75" i="1" s="1"/>
  <c r="E58" i="1"/>
  <c r="E66" i="1"/>
  <c r="E67" i="1" s="1"/>
  <c r="E49" i="1" l="1"/>
  <c r="E57" i="1"/>
  <c r="E59" i="1" s="1"/>
  <c r="E50" i="1" l="1"/>
  <c r="E51" i="1" s="1"/>
  <c r="E35" i="1" s="1"/>
</calcChain>
</file>

<file path=xl/sharedStrings.xml><?xml version="1.0" encoding="utf-8"?>
<sst xmlns="http://schemas.openxmlformats.org/spreadsheetml/2006/main" count="267" uniqueCount="182">
  <si>
    <t>Pour l’année</t>
  </si>
  <si>
    <t>0-1999.9</t>
  </si>
  <si>
    <t>2000-2999.9</t>
  </si>
  <si>
    <t>3000-3999.9</t>
  </si>
  <si>
    <t>4000-4999.9</t>
  </si>
  <si>
    <t>5000-5999.9</t>
  </si>
  <si>
    <t>6000-6999.9</t>
  </si>
  <si>
    <t>7000-7999.9</t>
  </si>
  <si>
    <t>8000-8999.9</t>
  </si>
  <si>
    <t>9000-9999.9</t>
  </si>
  <si>
    <t>10000-10999.9</t>
  </si>
  <si>
    <t>11000-11999.9</t>
  </si>
  <si>
    <t>12000-12999.9</t>
  </si>
  <si>
    <t>13000-13999.9</t>
  </si>
  <si>
    <t>14000-14999.9</t>
  </si>
  <si>
    <t>15000–15999.9</t>
  </si>
  <si>
    <t>16000-16999.9</t>
  </si>
  <si>
    <t>17000-17999.9</t>
  </si>
  <si>
    <t>18000-18999.9</t>
  </si>
  <si>
    <t>19000-19999.9</t>
  </si>
  <si>
    <t>20000-20999.9</t>
  </si>
  <si>
    <t>21000-21999.9</t>
  </si>
  <si>
    <t>22000-et au-delà</t>
  </si>
  <si>
    <t>Maternelle TPS/PS/MS</t>
  </si>
  <si>
    <t>Maternelle GS</t>
  </si>
  <si>
    <t>Elémentaire</t>
  </si>
  <si>
    <t>Collège</t>
  </si>
  <si>
    <t>quotient min</t>
  </si>
  <si>
    <t>Oui</t>
  </si>
  <si>
    <t>Non</t>
  </si>
  <si>
    <t>Cantine</t>
  </si>
  <si>
    <t>Frais pédagogiques</t>
  </si>
  <si>
    <t>Année scolaire</t>
  </si>
  <si>
    <t>3ème enfant</t>
  </si>
  <si>
    <t>4ème enfant</t>
  </si>
  <si>
    <t>2ème enfant</t>
  </si>
  <si>
    <t>Maternelle - TPS</t>
  </si>
  <si>
    <t>Maternelle - PS</t>
  </si>
  <si>
    <t>Maternelle - MS</t>
  </si>
  <si>
    <t>Maternelle - GS</t>
  </si>
  <si>
    <t>Elémentaire - CP</t>
  </si>
  <si>
    <t>Elémentaire - CE1</t>
  </si>
  <si>
    <t>Elémentaire - CE2</t>
  </si>
  <si>
    <t>Elémentaire - CM1</t>
  </si>
  <si>
    <t>Elémentaire - CM2</t>
  </si>
  <si>
    <t>Collège - 6e</t>
  </si>
  <si>
    <t>Collège - 5e</t>
  </si>
  <si>
    <t>Collège - 4e</t>
  </si>
  <si>
    <t>-</t>
  </si>
  <si>
    <t>Niveau de classe</t>
  </si>
  <si>
    <t>Choix</t>
  </si>
  <si>
    <t>Pique-nique</t>
  </si>
  <si>
    <t>Externe</t>
  </si>
  <si>
    <r>
      <rPr>
        <b/>
        <sz val="12"/>
        <color theme="0"/>
        <rFont val="Calibri"/>
        <family val="2"/>
        <scheme val="minor"/>
      </rPr>
      <t>Cantine</t>
    </r>
    <r>
      <rPr>
        <sz val="12"/>
        <color theme="0"/>
        <rFont val="Calibri"/>
        <family val="2"/>
        <scheme val="minor"/>
      </rPr>
      <t xml:space="preserve">
4 jours par semaine</t>
    </r>
  </si>
  <si>
    <t>Demi-pension</t>
  </si>
  <si>
    <t>Tarif journalier hors repas</t>
  </si>
  <si>
    <t>Quotient CAF</t>
  </si>
  <si>
    <t xml:space="preserve"> Mercredi (hors repas)</t>
  </si>
  <si>
    <t>Vacances (sans l'aide CAF) (hors repas)</t>
  </si>
  <si>
    <t>Vacances (aide déduite)</t>
  </si>
  <si>
    <t>(hors repas)</t>
  </si>
  <si>
    <t>&lt;300</t>
  </si>
  <si>
    <t>301-400</t>
  </si>
  <si>
    <t>401-600</t>
  </si>
  <si>
    <t>601-800</t>
  </si>
  <si>
    <t>801-1000</t>
  </si>
  <si>
    <t>1001-1500</t>
  </si>
  <si>
    <t>1501-2000</t>
  </si>
  <si>
    <t>&gt;2000</t>
  </si>
  <si>
    <t>Scolarité</t>
  </si>
  <si>
    <t>Scolarité (80%)</t>
  </si>
  <si>
    <t>Scolarité (70%)</t>
  </si>
  <si>
    <t>Midi</t>
  </si>
  <si>
    <t>Matin + Midi</t>
  </si>
  <si>
    <t>Midi + Soir</t>
  </si>
  <si>
    <t>Matin + Midi + Soir</t>
  </si>
  <si>
    <t>ALAE</t>
  </si>
  <si>
    <r>
      <rPr>
        <b/>
        <sz val="12"/>
        <color theme="0"/>
        <rFont val="Calibri"/>
        <family val="2"/>
        <scheme val="minor"/>
      </rPr>
      <t>ALAE primaire</t>
    </r>
    <r>
      <rPr>
        <sz val="12"/>
        <color theme="0"/>
        <rFont val="Calibri"/>
        <family val="2"/>
        <scheme val="minor"/>
      </rPr>
      <t xml:space="preserve">
matin / midi / soir</t>
    </r>
  </si>
  <si>
    <t>1er enfant (+ agé-e)</t>
  </si>
  <si>
    <t>Vous êtes parent séparé de l'autre parent et vous partagez les frais et la garde du/des enfant(s) inscrit(s)</t>
  </si>
  <si>
    <t>Facultatif : vous souhaitez une adhésion à l'association AEN La Prairie pour chaque parent (si en couple)</t>
  </si>
  <si>
    <t>Adhésion AEN La Prairie facultative</t>
  </si>
  <si>
    <t>Adhésion AEN La Prairie obligatoire</t>
  </si>
  <si>
    <t xml:space="preserve">* En cas de famille recomposée, le foyer inclut les revenus et le nombre de parts du/de la concubin-e et son/ses enfant(s) éventuel(s). </t>
  </si>
  <si>
    <t>&lt;Classe à choisir&gt;</t>
  </si>
  <si>
    <t>Classes</t>
  </si>
  <si>
    <t>Vous êtes parent isolé (case T cochée dans votre déclaration de revenus)</t>
  </si>
  <si>
    <t>Par semestre</t>
  </si>
  <si>
    <t>2 000 - 2 999</t>
  </si>
  <si>
    <t>3 000 - 3 999</t>
  </si>
  <si>
    <t>4 000 - 4 999</t>
  </si>
  <si>
    <t>5 000 - 5 999</t>
  </si>
  <si>
    <t>6 000 - 6 999</t>
  </si>
  <si>
    <t>7 000 - 7 999</t>
  </si>
  <si>
    <t>8 000 - 8 999</t>
  </si>
  <si>
    <t>9 000 - 9 999</t>
  </si>
  <si>
    <t>10 000 - 10 999</t>
  </si>
  <si>
    <t>11 000 - 11 999</t>
  </si>
  <si>
    <t>12 000 - 12 999</t>
  </si>
  <si>
    <t>13 000 - 13 999</t>
  </si>
  <si>
    <t>14 000 - 14 999</t>
  </si>
  <si>
    <t>15 000 - 15 999</t>
  </si>
  <si>
    <t>16 000 - 16 999</t>
  </si>
  <si>
    <t>17 000 - 17 999</t>
  </si>
  <si>
    <t>18 000 - 18 999</t>
  </si>
  <si>
    <t>19 000 - 19 999</t>
  </si>
  <si>
    <t>20 000 - 20 999</t>
  </si>
  <si>
    <t>21 000 - 21 999</t>
  </si>
  <si>
    <t>22 000 et au-delà</t>
  </si>
  <si>
    <r>
      <t xml:space="preserve">0 </t>
    </r>
    <r>
      <rPr>
        <b/>
        <sz val="11"/>
        <color rgb="FFFFFFFF"/>
        <rFont val="Times New Roman"/>
        <family val="1"/>
      </rPr>
      <t xml:space="preserve">– 1 </t>
    </r>
    <r>
      <rPr>
        <b/>
        <sz val="11"/>
        <color rgb="FFFFFFFF"/>
        <rFont val="Alef"/>
      </rPr>
      <t>999</t>
    </r>
  </si>
  <si>
    <t>RFR par part</t>
  </si>
  <si>
    <t>Matin
Midi</t>
  </si>
  <si>
    <t>Matin
Midi
Soir</t>
  </si>
  <si>
    <t>Midi
Soir</t>
  </si>
  <si>
    <t xml:space="preserve">Ces estimations sont données à titre indicatif et non contractuel. </t>
  </si>
  <si>
    <t>1er semestre</t>
  </si>
  <si>
    <t>fév-mars-avril-mai-juin</t>
  </si>
  <si>
    <t>Collège - 3e</t>
  </si>
  <si>
    <t>1er enfant</t>
  </si>
  <si>
    <t>2e enfant</t>
  </si>
  <si>
    <t>3e enfant</t>
  </si>
  <si>
    <t>4e enfant</t>
  </si>
  <si>
    <t>Quotient</t>
  </si>
  <si>
    <t>Parent isolé</t>
  </si>
  <si>
    <t>Parent séparé</t>
  </si>
  <si>
    <r>
      <rPr>
        <b/>
        <sz val="12"/>
        <color theme="0"/>
        <rFont val="Calibri"/>
        <family val="2"/>
        <scheme val="minor"/>
      </rPr>
      <t xml:space="preserve">Niveau de classe
</t>
    </r>
    <r>
      <rPr>
        <sz val="12"/>
        <color theme="0"/>
        <rFont val="Calibri"/>
        <family val="2"/>
        <scheme val="minor"/>
      </rPr>
      <t>du + agé-e au + jeune</t>
    </r>
  </si>
  <si>
    <t>Pour toute question, merci de contacter le service de comptabilité : compta@ecolecollege-laprairie.fr</t>
  </si>
  <si>
    <t>Nombre de parts fiscales de votre foyer</t>
  </si>
  <si>
    <t>Séjour MS à CM2 ou 4e</t>
  </si>
  <si>
    <t>&gt;  ENFANTS A SCOLARISER</t>
  </si>
  <si>
    <t>&gt;  DONNEES DE VOS AVIS D'IMPÔT SUR LES REVENUS *</t>
  </si>
  <si>
    <t>Revenu Fiscal de Référence (RFR) de votre foyer</t>
  </si>
  <si>
    <t>Revenu Fiscal de Référence (RFR) par part fiscale, utilisé pour le 1er semestre</t>
  </si>
  <si>
    <t>Pourcentage relatif à votre situation familiale, appliqué aux frais de scolarité</t>
  </si>
  <si>
    <t xml:space="preserve"> DETAILS DE L'ESTIMATION</t>
  </si>
  <si>
    <t>&gt;  SITUATION FAMILIALE</t>
  </si>
  <si>
    <t xml:space="preserve"> SYNTHESE DES INFORMATIONS DE VOTRE FOYER</t>
  </si>
  <si>
    <t>Estimation totale**</t>
  </si>
  <si>
    <t>22 000 - 23 999</t>
  </si>
  <si>
    <t>24 000 - 25 999</t>
  </si>
  <si>
    <t>26 000 - 27 999</t>
  </si>
  <si>
    <t>28 000 - 30 000</t>
  </si>
  <si>
    <t>38 001 et plus</t>
  </si>
  <si>
    <t>Inscrits ALAE</t>
  </si>
  <si>
    <t>Quotient ALAE</t>
  </si>
  <si>
    <t>Estimation des frais de scolarité à La Prairie pour l'année 2026-2027</t>
  </si>
  <si>
    <t xml:space="preserve"> ESTIMATION DES FRAIS DE SCOLARISATION</t>
  </si>
  <si>
    <t>Avis d'impôt 2025 
sur les revenus 2024</t>
  </si>
  <si>
    <t>Avis d'impôt 2026 
sur les revenus 2025
(estimé si pas encore reçu)</t>
  </si>
  <si>
    <t>oct-nov-déc-janv</t>
  </si>
  <si>
    <t>Montant des 9 mensualités</t>
  </si>
  <si>
    <t>Vous inscrivez vos enfants pour la première fois à La Prairie</t>
  </si>
  <si>
    <t>&gt;  1ERE INSCRIPTION</t>
  </si>
  <si>
    <t>Frais de dossier (1ere inscription)</t>
  </si>
  <si>
    <t>Tranches quotient RFR par part (en €)</t>
  </si>
  <si>
    <t>+ frais de livres et cahiers pratiques</t>
  </si>
  <si>
    <t>** L'estimation totale des frais ne prend pas en compte les frais éventuels de centre de loisirs ALSH des mercredis après-midi et vacances scolaires qui dépendent du quotient CAF, les régularisations de repas, les achats de livres et cahiers pratiques (hors manuels scolaires) pour les élèves du collège, ...</t>
  </si>
  <si>
    <t>Primaire (de MS à CM2)
Classe découverte</t>
  </si>
  <si>
    <t>Collège (4e seulement)
Voyage scolaire</t>
  </si>
  <si>
    <t>Tarifs ALAE annuels par enfant</t>
  </si>
  <si>
    <t>Tarifs des séjours</t>
  </si>
  <si>
    <t>Tarifs de scolarité pour un enfant</t>
  </si>
  <si>
    <t>RFR par parts fiscales</t>
  </si>
  <si>
    <t>Maternelle</t>
  </si>
  <si>
    <t>Élémentaire</t>
  </si>
  <si>
    <t>0 - 1999</t>
  </si>
  <si>
    <t>2 000 - 2 999</t>
  </si>
  <si>
    <t>Coût du repas</t>
  </si>
  <si>
    <t>Nombre de repas</t>
  </si>
  <si>
    <t>S1 (sept - janv)</t>
  </si>
  <si>
    <t>S2 (fév - juin)</t>
  </si>
  <si>
    <t>Année</t>
  </si>
  <si>
    <t>Coût
Pique-nique</t>
  </si>
  <si>
    <t>Coût pour 4 repas par semaine</t>
  </si>
  <si>
    <t>Coût annuel</t>
  </si>
  <si>
    <t>Coût 1er semestre</t>
  </si>
  <si>
    <t>Coût 2e semestre</t>
  </si>
  <si>
    <t>Voici l'estimation des frais de scolarisation de vos enfants pour l'année 2026-2027</t>
  </si>
  <si>
    <t>A partir des informations de votre foyer à renseigner …</t>
  </si>
  <si>
    <t>Cantine*** : les tarifs cantine donnés ici à titre indicatif sont calculés pour 4 jours par semaine au même régime toute l'année (demi-pension ou pique-nique). Dans le cas de combinaison de régimes différents dans la semaine, les frais seront adaptés. Ils ne peuvent pas être simulés par ce calculateur.</t>
  </si>
  <si>
    <t>Revenu Fiscal de Référence [RFR) par part fiscale, utilisé pour le 2e semestre</t>
  </si>
  <si>
    <t>2e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</si>
</sst>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\ &quot;€&quot;"/>
    <numFmt numFmtId="166" formatCode="_-* #,##0.00\ [$€-40C]_-;\-* #,##0.00\ [$€-40C]_-;_-* &quot;-&quot;??\ [$€-40C]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lef"/>
    </font>
    <font>
      <b/>
      <sz val="12"/>
      <color rgb="FFFFFFFF"/>
      <name val="Alef"/>
    </font>
    <font>
      <b/>
      <sz val="11"/>
      <color rgb="FF000000"/>
      <name val="Alef"/>
    </font>
    <font>
      <sz val="12"/>
      <color rgb="FF000000"/>
      <name val="Alef"/>
    </font>
    <font>
      <sz val="11"/>
      <color rgb="FF000000"/>
      <name val="Alef"/>
    </font>
    <font>
      <b/>
      <sz val="11"/>
      <name val="Alef"/>
    </font>
    <font>
      <sz val="12"/>
      <color rgb="FFFFFFFF"/>
      <name val="Alef"/>
    </font>
    <font>
      <b/>
      <sz val="12"/>
      <color rgb="FF000000"/>
      <name val="Alef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Alef"/>
    </font>
    <font>
      <b/>
      <sz val="11"/>
      <color rgb="FFFFFFFF"/>
      <name val="Times New Roman"/>
      <family val="1"/>
    </font>
    <font>
      <b/>
      <sz val="12"/>
      <color rgb="FFFFFFFF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20"/>
      <name val="Calibri"/>
      <family val="2"/>
      <scheme val="minor"/>
    </font>
    <font>
      <i/>
      <sz val="11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FFFF"/>
      <name val="Alef"/>
    </font>
    <font>
      <b/>
      <sz val="24"/>
      <color theme="8" tint="-0.249977111117893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-0.249977111117893"/>
        <bgColor indexed="64"/>
      </patternFill>
    </fill>
  </fills>
  <borders count="32">
    <border>
      <left/>
      <right/>
      <top/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/>
      <top/>
      <bottom/>
      <diagonal/>
    </border>
    <border>
      <left style="thick">
        <color theme="8" tint="-0.24994659260841701"/>
      </left>
      <right style="thick">
        <color theme="8" tint="-0.24994659260841701"/>
      </right>
      <top style="thick">
        <color theme="8" tint="-0.24994659260841701"/>
      </top>
      <bottom style="thick">
        <color theme="8" tint="-0.24994659260841701"/>
      </bottom>
      <diagonal/>
    </border>
    <border>
      <left/>
      <right/>
      <top/>
      <bottom style="medium">
        <color rgb="FFFFFFFF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 style="medium">
        <color rgb="FFFFFFFF"/>
      </top>
      <bottom style="medium">
        <color rgb="FFFFFFFF"/>
      </bottom>
      <diagonal/>
    </border>
    <border>
      <left style="thick">
        <color theme="0"/>
      </left>
      <right/>
      <top/>
      <bottom style="medium">
        <color rgb="FFFFFFFF"/>
      </bottom>
      <diagonal/>
    </border>
    <border>
      <left style="medium">
        <color theme="8" tint="-0.499984740745262"/>
      </left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3">
    <xf numFmtId="0" fontId="0" fillId="0" borderId="0" xfId="0"/>
    <xf numFmtId="0" fontId="4" fillId="3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8" fontId="5" fillId="4" borderId="7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6" fontId="6" fillId="3" borderId="8" xfId="0" applyNumberFormat="1" applyFont="1" applyFill="1" applyBorder="1" applyAlignment="1">
      <alignment horizontal="center" vertical="center" wrapText="1"/>
    </xf>
    <xf numFmtId="6" fontId="6" fillId="4" borderId="8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9" fillId="3" borderId="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vertical="center" wrapText="1"/>
    </xf>
    <xf numFmtId="0" fontId="10" fillId="0" borderId="0" xfId="0" applyFont="1"/>
    <xf numFmtId="0" fontId="14" fillId="0" borderId="0" xfId="0" applyFont="1"/>
    <xf numFmtId="0" fontId="10" fillId="0" borderId="19" xfId="0" applyFont="1" applyBorder="1"/>
    <xf numFmtId="0" fontId="10" fillId="0" borderId="20" xfId="0" applyFont="1" applyBorder="1"/>
    <xf numFmtId="0" fontId="10" fillId="0" borderId="9" xfId="0" applyFont="1" applyBorder="1"/>
    <xf numFmtId="0" fontId="8" fillId="2" borderId="2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0" fillId="0" borderId="22" xfId="0" applyFont="1" applyBorder="1"/>
    <xf numFmtId="0" fontId="10" fillId="0" borderId="18" xfId="0" applyFont="1" applyBorder="1"/>
    <xf numFmtId="164" fontId="6" fillId="3" borderId="7" xfId="2" applyNumberFormat="1" applyFont="1" applyFill="1" applyBorder="1" applyAlignment="1">
      <alignment horizontal="center" vertical="center" wrapText="1"/>
    </xf>
    <xf numFmtId="164" fontId="6" fillId="4" borderId="7" xfId="2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8" fontId="5" fillId="3" borderId="7" xfId="0" applyNumberFormat="1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8" fontId="5" fillId="5" borderId="7" xfId="0" applyNumberFormat="1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8" fontId="5" fillId="6" borderId="7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26" fillId="0" borderId="0" xfId="0" applyFont="1"/>
    <xf numFmtId="0" fontId="19" fillId="0" borderId="0" xfId="0" applyFont="1" applyAlignment="1">
      <alignment wrapText="1"/>
    </xf>
    <xf numFmtId="0" fontId="19" fillId="0" borderId="0" xfId="0" applyFont="1" applyAlignment="1">
      <alignment horizontal="left" wrapText="1"/>
    </xf>
    <xf numFmtId="0" fontId="10" fillId="21" borderId="0" xfId="0" applyFont="1" applyFill="1" applyAlignment="1">
      <alignment wrapText="1"/>
    </xf>
    <xf numFmtId="0" fontId="10" fillId="19" borderId="14" xfId="0" applyFont="1" applyFill="1" applyBorder="1"/>
    <xf numFmtId="164" fontId="10" fillId="20" borderId="0" xfId="0" applyNumberFormat="1" applyFont="1" applyFill="1" applyAlignment="1">
      <alignment horizontal="right"/>
    </xf>
    <xf numFmtId="164" fontId="10" fillId="19" borderId="9" xfId="0" applyNumberFormat="1" applyFont="1" applyFill="1" applyBorder="1" applyAlignment="1">
      <alignment horizontal="right"/>
    </xf>
    <xf numFmtId="0" fontId="10" fillId="19" borderId="15" xfId="0" applyFont="1" applyFill="1" applyBorder="1"/>
    <xf numFmtId="164" fontId="10" fillId="20" borderId="10" xfId="0" applyNumberFormat="1" applyFont="1" applyFill="1" applyBorder="1" applyAlignment="1">
      <alignment horizontal="right"/>
    </xf>
    <xf numFmtId="164" fontId="10" fillId="19" borderId="16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10" fillId="21" borderId="0" xfId="0" applyFont="1" applyFill="1" applyAlignment="1">
      <alignment horizontal="center" wrapText="1"/>
    </xf>
    <xf numFmtId="0" fontId="12" fillId="14" borderId="11" xfId="0" applyFont="1" applyFill="1" applyBorder="1" applyAlignment="1">
      <alignment horizontal="left"/>
    </xf>
    <xf numFmtId="0" fontId="13" fillId="14" borderId="12" xfId="0" applyFont="1" applyFill="1" applyBorder="1" applyAlignment="1">
      <alignment horizontal="right"/>
    </xf>
    <xf numFmtId="0" fontId="12" fillId="14" borderId="13" xfId="0" applyFont="1" applyFill="1" applyBorder="1" applyAlignment="1">
      <alignment horizontal="right"/>
    </xf>
    <xf numFmtId="0" fontId="10" fillId="11" borderId="14" xfId="0" applyFont="1" applyFill="1" applyBorder="1"/>
    <xf numFmtId="164" fontId="10" fillId="7" borderId="0" xfId="0" applyNumberFormat="1" applyFont="1" applyFill="1" applyAlignment="1">
      <alignment horizontal="right"/>
    </xf>
    <xf numFmtId="164" fontId="10" fillId="11" borderId="9" xfId="0" applyNumberFormat="1" applyFont="1" applyFill="1" applyBorder="1" applyAlignment="1">
      <alignment horizontal="right"/>
    </xf>
    <xf numFmtId="0" fontId="0" fillId="21" borderId="0" xfId="0" applyFill="1" applyAlignment="1">
      <alignment wrapText="1"/>
    </xf>
    <xf numFmtId="0" fontId="14" fillId="14" borderId="15" xfId="0" applyFont="1" applyFill="1" applyBorder="1"/>
    <xf numFmtId="164" fontId="14" fillId="14" borderId="10" xfId="0" applyNumberFormat="1" applyFont="1" applyFill="1" applyBorder="1" applyAlignment="1">
      <alignment horizontal="right"/>
    </xf>
    <xf numFmtId="164" fontId="14" fillId="14" borderId="16" xfId="0" applyNumberFormat="1" applyFont="1" applyFill="1" applyBorder="1" applyAlignment="1">
      <alignment horizontal="right"/>
    </xf>
    <xf numFmtId="164" fontId="14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right"/>
    </xf>
    <xf numFmtId="0" fontId="12" fillId="15" borderId="11" xfId="0" applyFont="1" applyFill="1" applyBorder="1" applyAlignment="1">
      <alignment horizontal="left"/>
    </xf>
    <xf numFmtId="0" fontId="13" fillId="15" borderId="12" xfId="0" applyFont="1" applyFill="1" applyBorder="1" applyAlignment="1">
      <alignment horizontal="right"/>
    </xf>
    <xf numFmtId="0" fontId="12" fillId="15" borderId="13" xfId="0" applyFont="1" applyFill="1" applyBorder="1" applyAlignment="1">
      <alignment horizontal="right"/>
    </xf>
    <xf numFmtId="0" fontId="10" fillId="10" borderId="14" xfId="0" applyFont="1" applyFill="1" applyBorder="1"/>
    <xf numFmtId="164" fontId="10" fillId="9" borderId="0" xfId="0" applyNumberFormat="1" applyFont="1" applyFill="1" applyAlignment="1">
      <alignment horizontal="right"/>
    </xf>
    <xf numFmtId="164" fontId="10" fillId="10" borderId="9" xfId="0" applyNumberFormat="1" applyFont="1" applyFill="1" applyBorder="1" applyAlignment="1">
      <alignment horizontal="right"/>
    </xf>
    <xf numFmtId="0" fontId="19" fillId="0" borderId="0" xfId="0" applyFont="1"/>
    <xf numFmtId="0" fontId="12" fillId="15" borderId="15" xfId="0" applyFont="1" applyFill="1" applyBorder="1"/>
    <xf numFmtId="164" fontId="12" fillId="15" borderId="10" xfId="0" applyNumberFormat="1" applyFont="1" applyFill="1" applyBorder="1" applyAlignment="1">
      <alignment horizontal="right"/>
    </xf>
    <xf numFmtId="164" fontId="12" fillId="15" borderId="16" xfId="0" applyNumberFormat="1" applyFont="1" applyFill="1" applyBorder="1" applyAlignment="1">
      <alignment horizontal="right"/>
    </xf>
    <xf numFmtId="0" fontId="12" fillId="17" borderId="11" xfId="0" applyFont="1" applyFill="1" applyBorder="1" applyAlignment="1">
      <alignment horizontal="left"/>
    </xf>
    <xf numFmtId="0" fontId="13" fillId="17" borderId="12" xfId="0" applyFont="1" applyFill="1" applyBorder="1" applyAlignment="1">
      <alignment horizontal="right"/>
    </xf>
    <xf numFmtId="0" fontId="12" fillId="17" borderId="13" xfId="0" applyFont="1" applyFill="1" applyBorder="1" applyAlignment="1">
      <alignment horizontal="right"/>
    </xf>
    <xf numFmtId="0" fontId="10" fillId="12" borderId="14" xfId="0" applyFont="1" applyFill="1" applyBorder="1"/>
    <xf numFmtId="164" fontId="10" fillId="8" borderId="0" xfId="0" applyNumberFormat="1" applyFont="1" applyFill="1" applyAlignment="1">
      <alignment horizontal="right"/>
    </xf>
    <xf numFmtId="164" fontId="10" fillId="12" borderId="9" xfId="0" applyNumberFormat="1" applyFont="1" applyFill="1" applyBorder="1" applyAlignment="1">
      <alignment horizontal="right"/>
    </xf>
    <xf numFmtId="0" fontId="14" fillId="17" borderId="15" xfId="0" applyFont="1" applyFill="1" applyBorder="1"/>
    <xf numFmtId="164" fontId="14" fillId="17" borderId="10" xfId="0" applyNumberFormat="1" applyFont="1" applyFill="1" applyBorder="1" applyAlignment="1">
      <alignment horizontal="right"/>
    </xf>
    <xf numFmtId="164" fontId="14" fillId="17" borderId="16" xfId="0" applyNumberFormat="1" applyFont="1" applyFill="1" applyBorder="1" applyAlignment="1">
      <alignment horizontal="right"/>
    </xf>
    <xf numFmtId="0" fontId="12" fillId="16" borderId="11" xfId="0" applyFont="1" applyFill="1" applyBorder="1" applyAlignment="1">
      <alignment horizontal="left"/>
    </xf>
    <xf numFmtId="0" fontId="13" fillId="16" borderId="12" xfId="0" applyFont="1" applyFill="1" applyBorder="1" applyAlignment="1">
      <alignment horizontal="right"/>
    </xf>
    <xf numFmtId="0" fontId="12" fillId="16" borderId="13" xfId="0" applyFont="1" applyFill="1" applyBorder="1" applyAlignment="1">
      <alignment horizontal="right"/>
    </xf>
    <xf numFmtId="0" fontId="10" fillId="6" borderId="14" xfId="0" applyFont="1" applyFill="1" applyBorder="1"/>
    <xf numFmtId="164" fontId="10" fillId="5" borderId="0" xfId="0" applyNumberFormat="1" applyFont="1" applyFill="1" applyAlignment="1">
      <alignment horizontal="right"/>
    </xf>
    <xf numFmtId="164" fontId="10" fillId="6" borderId="9" xfId="0" applyNumberFormat="1" applyFont="1" applyFill="1" applyBorder="1" applyAlignment="1">
      <alignment horizontal="right"/>
    </xf>
    <xf numFmtId="0" fontId="14" fillId="16" borderId="15" xfId="0" applyFont="1" applyFill="1" applyBorder="1"/>
    <xf numFmtId="164" fontId="14" fillId="16" borderId="10" xfId="0" applyNumberFormat="1" applyFont="1" applyFill="1" applyBorder="1" applyAlignment="1">
      <alignment horizontal="right"/>
    </xf>
    <xf numFmtId="164" fontId="14" fillId="16" borderId="16" xfId="0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0" fontId="25" fillId="0" borderId="0" xfId="0" applyFont="1" applyAlignment="1">
      <alignment horizontal="left"/>
    </xf>
    <xf numFmtId="6" fontId="11" fillId="6" borderId="17" xfId="0" applyNumberFormat="1" applyFont="1" applyFill="1" applyBorder="1" applyAlignment="1">
      <alignment horizontal="center" vertical="center" wrapText="1"/>
    </xf>
    <xf numFmtId="6" fontId="11" fillId="12" borderId="17" xfId="0" applyNumberFormat="1" applyFont="1" applyFill="1" applyBorder="1" applyAlignment="1">
      <alignment horizontal="center" vertical="center" wrapText="1"/>
    </xf>
    <xf numFmtId="6" fontId="11" fillId="10" borderId="17" xfId="0" applyNumberFormat="1" applyFont="1" applyFill="1" applyBorder="1" applyAlignment="1">
      <alignment horizontal="center" vertical="center" wrapText="1"/>
    </xf>
    <xf numFmtId="6" fontId="11" fillId="11" borderId="15" xfId="0" applyNumberFormat="1" applyFont="1" applyFill="1" applyBorder="1" applyAlignment="1">
      <alignment horizontal="center" vertical="center" wrapText="1"/>
    </xf>
    <xf numFmtId="6" fontId="11" fillId="0" borderId="0" xfId="0" applyNumberFormat="1" applyFont="1" applyAlignment="1">
      <alignment horizontal="left" vertical="center"/>
    </xf>
    <xf numFmtId="6" fontId="11" fillId="0" borderId="0" xfId="0" applyNumberFormat="1" applyFont="1" applyAlignment="1">
      <alignment horizontal="left" vertical="center" wrapText="1"/>
    </xf>
    <xf numFmtId="0" fontId="27" fillId="24" borderId="14" xfId="0" applyFont="1" applyFill="1" applyBorder="1" applyAlignment="1">
      <alignment wrapText="1"/>
    </xf>
    <xf numFmtId="164" fontId="12" fillId="18" borderId="9" xfId="0" applyNumberFormat="1" applyFont="1" applyFill="1" applyBorder="1" applyAlignment="1">
      <alignment horizontal="right"/>
    </xf>
    <xf numFmtId="0" fontId="13" fillId="18" borderId="16" xfId="0" applyFont="1" applyFill="1" applyBorder="1" applyAlignment="1">
      <alignment horizontal="right"/>
    </xf>
    <xf numFmtId="164" fontId="12" fillId="22" borderId="0" xfId="0" applyNumberFormat="1" applyFont="1" applyFill="1" applyAlignment="1">
      <alignment horizontal="right"/>
    </xf>
    <xf numFmtId="164" fontId="13" fillId="22" borderId="10" xfId="0" applyNumberFormat="1" applyFont="1" applyFill="1" applyBorder="1" applyAlignment="1">
      <alignment horizontal="right"/>
    </xf>
    <xf numFmtId="165" fontId="10" fillId="22" borderId="0" xfId="0" applyNumberFormat="1" applyFont="1" applyFill="1" applyAlignment="1">
      <alignment horizontal="right"/>
    </xf>
    <xf numFmtId="9" fontId="10" fillId="22" borderId="0" xfId="1" applyFont="1" applyFill="1" applyBorder="1" applyAlignment="1" applyProtection="1">
      <alignment horizontal="right"/>
    </xf>
    <xf numFmtId="0" fontId="10" fillId="0" borderId="11" xfId="0" applyFont="1" applyBorder="1"/>
    <xf numFmtId="0" fontId="10" fillId="0" borderId="14" xfId="0" applyFont="1" applyBorder="1"/>
    <xf numFmtId="0" fontId="10" fillId="0" borderId="15" xfId="0" applyFont="1" applyBorder="1"/>
    <xf numFmtId="0" fontId="17" fillId="13" borderId="0" xfId="0" applyFont="1" applyFill="1" applyAlignment="1">
      <alignment horizontal="left" vertical="center" wrapText="1"/>
    </xf>
    <xf numFmtId="6" fontId="11" fillId="18" borderId="0" xfId="0" applyNumberFormat="1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20" fillId="0" borderId="0" xfId="0" applyFont="1" applyAlignme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28" fillId="25" borderId="12" xfId="0" applyFont="1" applyFill="1" applyBorder="1"/>
    <xf numFmtId="0" fontId="32" fillId="0" borderId="0" xfId="0" applyFont="1"/>
    <xf numFmtId="0" fontId="33" fillId="0" borderId="0" xfId="0" applyFont="1"/>
    <xf numFmtId="0" fontId="31" fillId="0" borderId="0" xfId="0" applyFont="1"/>
    <xf numFmtId="0" fontId="10" fillId="0" borderId="24" xfId="0" applyFont="1" applyBorder="1" applyAlignment="1" applyProtection="1">
      <alignment horizontal="center"/>
      <protection locked="0"/>
    </xf>
    <xf numFmtId="6" fontId="11" fillId="19" borderId="0" xfId="0" applyNumberFormat="1" applyFont="1" applyFill="1" applyAlignment="1">
      <alignment horizontal="left" vertical="center" wrapText="1"/>
    </xf>
    <xf numFmtId="6" fontId="11" fillId="19" borderId="0" xfId="0" applyNumberFormat="1" applyFont="1" applyFill="1" applyAlignment="1">
      <alignment horizontal="left" vertical="center" wrapText="1"/>
    </xf>
    <xf numFmtId="6" fontId="11" fillId="19" borderId="0" xfId="0" applyNumberFormat="1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justify" vertical="center" wrapText="1"/>
    </xf>
    <xf numFmtId="166" fontId="6" fillId="3" borderId="7" xfId="0" applyNumberFormat="1" applyFont="1" applyFill="1" applyBorder="1" applyAlignment="1">
      <alignment horizontal="center" vertical="center"/>
    </xf>
    <xf numFmtId="166" fontId="6" fillId="4" borderId="7" xfId="0" applyNumberFormat="1" applyFont="1" applyFill="1" applyBorder="1" applyAlignment="1">
      <alignment horizontal="center" vertical="center"/>
    </xf>
    <xf numFmtId="0" fontId="0" fillId="0" borderId="0" xfId="0" quotePrefix="1" applyFont="1"/>
    <xf numFmtId="0" fontId="34" fillId="2" borderId="6" xfId="0" applyFont="1" applyFill="1" applyBorder="1" applyAlignment="1">
      <alignment vertical="center" wrapText="1"/>
    </xf>
    <xf numFmtId="164" fontId="6" fillId="4" borderId="7" xfId="0" applyNumberFormat="1" applyFont="1" applyFill="1" applyBorder="1" applyAlignment="1">
      <alignment horizontal="center" vertical="center" wrapText="1"/>
    </xf>
    <xf numFmtId="0" fontId="22" fillId="26" borderId="5" xfId="0" applyFont="1" applyFill="1" applyBorder="1" applyAlignment="1">
      <alignment horizontal="center" vertical="center" wrapText="1"/>
    </xf>
    <xf numFmtId="0" fontId="22" fillId="27" borderId="5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0" fontId="34" fillId="2" borderId="6" xfId="0" applyFont="1" applyFill="1" applyBorder="1" applyAlignment="1">
      <alignment horizontal="center" vertical="center" wrapText="1"/>
    </xf>
    <xf numFmtId="0" fontId="22" fillId="26" borderId="1" xfId="0" applyFont="1" applyFill="1" applyBorder="1" applyAlignment="1">
      <alignment horizontal="center" vertical="center" wrapText="1"/>
    </xf>
    <xf numFmtId="0" fontId="22" fillId="27" borderId="1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22" fillId="26" borderId="1" xfId="0" applyFont="1" applyFill="1" applyBorder="1" applyAlignment="1">
      <alignment horizontal="center" vertical="center" wrapText="1"/>
    </xf>
    <xf numFmtId="0" fontId="7" fillId="26" borderId="5" xfId="0" applyFont="1" applyFill="1" applyBorder="1" applyAlignment="1">
      <alignment horizontal="center" vertical="center" wrapText="1"/>
    </xf>
    <xf numFmtId="0" fontId="7" fillId="27" borderId="5" xfId="0" applyFont="1" applyFill="1" applyBorder="1" applyAlignment="1">
      <alignment horizontal="center" vertical="center" wrapText="1"/>
    </xf>
    <xf numFmtId="0" fontId="7" fillId="27" borderId="1" xfId="0" applyFont="1" applyFill="1" applyBorder="1" applyAlignment="1">
      <alignment horizontal="center" vertical="center" wrapText="1"/>
    </xf>
    <xf numFmtId="164" fontId="6" fillId="7" borderId="7" xfId="0" applyNumberFormat="1" applyFont="1" applyFill="1" applyBorder="1" applyAlignment="1">
      <alignment horizontal="center" vertical="center" wrapText="1"/>
    </xf>
    <xf numFmtId="164" fontId="6" fillId="7" borderId="25" xfId="0" applyNumberFormat="1" applyFont="1" applyFill="1" applyBorder="1" applyAlignment="1">
      <alignment horizontal="center" vertical="center" wrapText="1"/>
    </xf>
    <xf numFmtId="164" fontId="6" fillId="11" borderId="7" xfId="0" applyNumberFormat="1" applyFont="1" applyFill="1" applyBorder="1" applyAlignment="1">
      <alignment horizontal="center" vertical="center" wrapText="1"/>
    </xf>
    <xf numFmtId="0" fontId="22" fillId="27" borderId="1" xfId="0" applyFont="1" applyFill="1" applyBorder="1" applyAlignment="1">
      <alignment horizontal="center" vertical="center" wrapText="1"/>
    </xf>
    <xf numFmtId="0" fontId="22" fillId="27" borderId="8" xfId="0" applyFont="1" applyFill="1" applyBorder="1" applyAlignment="1">
      <alignment vertical="center" wrapText="1"/>
    </xf>
    <xf numFmtId="0" fontId="22" fillId="27" borderId="6" xfId="0" applyFont="1" applyFill="1" applyBorder="1" applyAlignment="1">
      <alignment vertical="center" wrapText="1"/>
    </xf>
    <xf numFmtId="164" fontId="6" fillId="8" borderId="6" xfId="0" applyNumberFormat="1" applyFont="1" applyFill="1" applyBorder="1" applyAlignment="1">
      <alignment horizontal="center" vertical="center" wrapText="1"/>
    </xf>
    <xf numFmtId="164" fontId="6" fillId="12" borderId="7" xfId="0" applyNumberFormat="1" applyFont="1" applyFill="1" applyBorder="1" applyAlignment="1">
      <alignment horizontal="center" vertical="center" wrapText="1"/>
    </xf>
    <xf numFmtId="164" fontId="6" fillId="9" borderId="7" xfId="0" applyNumberFormat="1" applyFont="1" applyFill="1" applyBorder="1" applyAlignment="1">
      <alignment horizontal="center" vertical="center" wrapText="1"/>
    </xf>
    <xf numFmtId="164" fontId="6" fillId="10" borderId="7" xfId="0" applyNumberFormat="1" applyFont="1" applyFill="1" applyBorder="1" applyAlignment="1">
      <alignment horizontal="center" vertical="center" wrapText="1"/>
    </xf>
    <xf numFmtId="0" fontId="7" fillId="28" borderId="5" xfId="0" applyFont="1" applyFill="1" applyBorder="1" applyAlignment="1">
      <alignment horizontal="center" vertical="center" wrapText="1"/>
    </xf>
    <xf numFmtId="164" fontId="22" fillId="28" borderId="7" xfId="0" applyNumberFormat="1" applyFont="1" applyFill="1" applyBorder="1" applyAlignment="1">
      <alignment horizontal="center" vertical="center" wrapText="1"/>
    </xf>
    <xf numFmtId="0" fontId="7" fillId="28" borderId="1" xfId="0" applyFont="1" applyFill="1" applyBorder="1" applyAlignment="1">
      <alignment horizontal="center" vertical="center" wrapText="1"/>
    </xf>
    <xf numFmtId="164" fontId="6" fillId="9" borderId="6" xfId="0" applyNumberFormat="1" applyFont="1" applyFill="1" applyBorder="1" applyAlignment="1">
      <alignment horizontal="center" vertical="center" wrapText="1"/>
    </xf>
    <xf numFmtId="0" fontId="22" fillId="28" borderId="1" xfId="0" applyFont="1" applyFill="1" applyBorder="1" applyAlignment="1">
      <alignment horizontal="center" vertical="center" wrapText="1"/>
    </xf>
    <xf numFmtId="0" fontId="22" fillId="28" borderId="5" xfId="0" applyFont="1" applyFill="1" applyBorder="1" applyAlignment="1">
      <alignment horizontal="center" vertical="center" wrapText="1"/>
    </xf>
    <xf numFmtId="0" fontId="0" fillId="0" borderId="26" xfId="0" applyBorder="1"/>
    <xf numFmtId="0" fontId="22" fillId="27" borderId="27" xfId="0" applyFont="1" applyFill="1" applyBorder="1" applyAlignment="1">
      <alignment horizontal="center" vertical="center" wrapText="1"/>
    </xf>
    <xf numFmtId="164" fontId="6" fillId="8" borderId="28" xfId="0" applyNumberFormat="1" applyFont="1" applyFill="1" applyBorder="1" applyAlignment="1">
      <alignment horizontal="center" vertical="center" wrapText="1"/>
    </xf>
    <xf numFmtId="164" fontId="6" fillId="11" borderId="25" xfId="0" applyNumberFormat="1" applyFont="1" applyFill="1" applyBorder="1" applyAlignment="1">
      <alignment horizontal="center" vertical="center" wrapText="1"/>
    </xf>
    <xf numFmtId="164" fontId="6" fillId="12" borderId="2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4" fillId="2" borderId="23" xfId="0" applyFont="1" applyFill="1" applyBorder="1" applyAlignment="1">
      <alignment vertical="center" wrapText="1"/>
    </xf>
    <xf numFmtId="0" fontId="22" fillId="26" borderId="7" xfId="0" applyFont="1" applyFill="1" applyBorder="1" applyAlignment="1">
      <alignment vertical="center" wrapText="1"/>
    </xf>
    <xf numFmtId="164" fontId="22" fillId="28" borderId="8" xfId="0" applyNumberFormat="1" applyFont="1" applyFill="1" applyBorder="1" applyAlignment="1">
      <alignment vertical="center" wrapText="1"/>
    </xf>
    <xf numFmtId="164" fontId="22" fillId="28" borderId="6" xfId="0" applyNumberFormat="1" applyFont="1" applyFill="1" applyBorder="1" applyAlignment="1">
      <alignment vertical="center" wrapText="1"/>
    </xf>
    <xf numFmtId="0" fontId="7" fillId="26" borderId="1" xfId="0" applyFont="1" applyFill="1" applyBorder="1" applyAlignment="1">
      <alignment horizontal="center" vertical="center" wrapText="1"/>
    </xf>
    <xf numFmtId="0" fontId="7" fillId="26" borderId="4" xfId="0" applyFont="1" applyFill="1" applyBorder="1" applyAlignment="1">
      <alignment horizontal="center" vertical="center" wrapText="1"/>
    </xf>
    <xf numFmtId="0" fontId="22" fillId="26" borderId="8" xfId="0" applyFont="1" applyFill="1" applyBorder="1" applyAlignment="1">
      <alignment vertical="center" wrapText="1"/>
    </xf>
    <xf numFmtId="0" fontId="22" fillId="26" borderId="4" xfId="0" applyFont="1" applyFill="1" applyBorder="1" applyAlignment="1">
      <alignment horizontal="center" vertical="center" wrapText="1"/>
    </xf>
    <xf numFmtId="0" fontId="28" fillId="0" borderId="0" xfId="0" applyFont="1" applyFill="1" applyBorder="1"/>
    <xf numFmtId="0" fontId="30" fillId="0" borderId="0" xfId="0" applyFont="1" applyFill="1" applyBorder="1"/>
    <xf numFmtId="0" fontId="31" fillId="0" borderId="0" xfId="0" applyFont="1" applyFill="1" applyBorder="1"/>
    <xf numFmtId="6" fontId="11" fillId="19" borderId="0" xfId="0" applyNumberFormat="1" applyFont="1" applyFill="1" applyBorder="1" applyAlignment="1">
      <alignment horizontal="left" vertical="center" wrapText="1"/>
    </xf>
    <xf numFmtId="0" fontId="17" fillId="23" borderId="0" xfId="0" applyFont="1" applyFill="1" applyAlignment="1">
      <alignment horizontal="left" vertical="center" wrapText="1"/>
    </xf>
    <xf numFmtId="6" fontId="11" fillId="19" borderId="0" xfId="0" applyNumberFormat="1" applyFont="1" applyFill="1" applyAlignment="1">
      <alignment horizontal="left" vertical="center"/>
    </xf>
    <xf numFmtId="6" fontId="18" fillId="23" borderId="0" xfId="0" applyNumberFormat="1" applyFont="1" applyFill="1" applyAlignment="1">
      <alignment horizontal="left" vertical="center" wrapText="1"/>
    </xf>
    <xf numFmtId="6" fontId="15" fillId="23" borderId="0" xfId="0" applyNumberFormat="1" applyFont="1" applyFill="1" applyAlignment="1">
      <alignment horizontal="center" vertical="center" wrapText="1"/>
    </xf>
    <xf numFmtId="0" fontId="24" fillId="23" borderId="0" xfId="0" applyFont="1" applyFill="1" applyAlignment="1">
      <alignment horizontal="center" vertical="center" wrapText="1"/>
    </xf>
    <xf numFmtId="6" fontId="11" fillId="19" borderId="0" xfId="0" applyNumberFormat="1" applyFont="1" applyFill="1" applyBorder="1" applyAlignment="1">
      <alignment horizontal="center" vertical="center" wrapText="1"/>
    </xf>
    <xf numFmtId="0" fontId="0" fillId="24" borderId="0" xfId="0" applyFill="1" applyAlignment="1">
      <alignment wrapText="1"/>
    </xf>
    <xf numFmtId="0" fontId="18" fillId="29" borderId="11" xfId="0" applyFont="1" applyFill="1" applyBorder="1" applyAlignment="1">
      <alignment horizontal="center" vertical="center"/>
    </xf>
    <xf numFmtId="0" fontId="18" fillId="29" borderId="12" xfId="0" applyFont="1" applyFill="1" applyBorder="1" applyAlignment="1">
      <alignment horizontal="center" vertical="center"/>
    </xf>
    <xf numFmtId="0" fontId="16" fillId="29" borderId="12" xfId="0" applyFont="1" applyFill="1" applyBorder="1" applyAlignment="1">
      <alignment horizontal="right"/>
    </xf>
    <xf numFmtId="0" fontId="16" fillId="29" borderId="13" xfId="0" applyFont="1" applyFill="1" applyBorder="1" applyAlignment="1">
      <alignment horizontal="right"/>
    </xf>
    <xf numFmtId="0" fontId="18" fillId="29" borderId="14" xfId="0" applyFont="1" applyFill="1" applyBorder="1" applyAlignment="1">
      <alignment horizontal="center" vertical="center"/>
    </xf>
    <xf numFmtId="0" fontId="18" fillId="29" borderId="0" xfId="0" applyFont="1" applyFill="1" applyBorder="1" applyAlignment="1">
      <alignment horizontal="center" vertical="center"/>
    </xf>
    <xf numFmtId="0" fontId="15" fillId="29" borderId="0" xfId="0" applyFont="1" applyFill="1" applyAlignment="1">
      <alignment horizontal="right"/>
    </xf>
    <xf numFmtId="0" fontId="16" fillId="29" borderId="9" xfId="0" applyFont="1" applyFill="1" applyBorder="1" applyAlignment="1">
      <alignment horizontal="right"/>
    </xf>
    <xf numFmtId="0" fontId="19" fillId="19" borderId="0" xfId="0" applyFont="1" applyFill="1"/>
    <xf numFmtId="0" fontId="19" fillId="19" borderId="0" xfId="0" applyFont="1" applyFill="1" applyAlignment="1">
      <alignment wrapText="1"/>
    </xf>
    <xf numFmtId="0" fontId="19" fillId="19" borderId="9" xfId="0" applyFont="1" applyFill="1" applyBorder="1" applyAlignment="1">
      <alignment wrapText="1"/>
    </xf>
    <xf numFmtId="0" fontId="19" fillId="19" borderId="14" xfId="0" applyFont="1" applyFill="1" applyBorder="1" applyAlignment="1">
      <alignment wrapText="1"/>
    </xf>
    <xf numFmtId="0" fontId="19" fillId="21" borderId="0" xfId="0" applyFont="1" applyFill="1" applyAlignment="1">
      <alignment horizontal="left" wrapText="1"/>
    </xf>
    <xf numFmtId="0" fontId="0" fillId="25" borderId="0" xfId="0" applyFill="1" applyAlignment="1">
      <alignment wrapText="1"/>
    </xf>
    <xf numFmtId="0" fontId="19" fillId="0" borderId="0" xfId="0" applyFont="1" applyFill="1"/>
    <xf numFmtId="0" fontId="19" fillId="0" borderId="0" xfId="0" applyFont="1" applyFill="1" applyAlignment="1">
      <alignment wrapText="1"/>
    </xf>
    <xf numFmtId="0" fontId="29" fillId="25" borderId="12" xfId="0" quotePrefix="1" applyFont="1" applyFill="1" applyBorder="1" applyAlignment="1">
      <alignment horizontal="left"/>
    </xf>
    <xf numFmtId="0" fontId="29" fillId="25" borderId="12" xfId="0" applyFont="1" applyFill="1" applyBorder="1" applyAlignment="1">
      <alignment horizontal="left"/>
    </xf>
    <xf numFmtId="0" fontId="18" fillId="13" borderId="12" xfId="0" applyFont="1" applyFill="1" applyBorder="1" applyAlignment="1">
      <alignment horizontal="center" vertical="center"/>
    </xf>
    <xf numFmtId="0" fontId="16" fillId="13" borderId="12" xfId="0" applyFont="1" applyFill="1" applyBorder="1" applyAlignment="1">
      <alignment horizontal="right"/>
    </xf>
    <xf numFmtId="0" fontId="16" fillId="13" borderId="13" xfId="0" applyFont="1" applyFill="1" applyBorder="1" applyAlignment="1">
      <alignment horizontal="right"/>
    </xf>
    <xf numFmtId="0" fontId="18" fillId="13" borderId="0" xfId="0" applyFont="1" applyFill="1" applyBorder="1" applyAlignment="1">
      <alignment horizontal="center" vertical="center"/>
    </xf>
    <xf numFmtId="0" fontId="15" fillId="13" borderId="0" xfId="0" applyFont="1" applyFill="1" applyAlignment="1">
      <alignment horizontal="right"/>
    </xf>
    <xf numFmtId="0" fontId="16" fillId="13" borderId="9" xfId="0" applyFont="1" applyFill="1" applyBorder="1" applyAlignment="1">
      <alignment horizontal="right"/>
    </xf>
    <xf numFmtId="0" fontId="35" fillId="0" borderId="29" xfId="0" applyFont="1" applyFill="1" applyBorder="1" applyAlignment="1">
      <alignment horizontal="center"/>
    </xf>
    <xf numFmtId="0" fontId="35" fillId="0" borderId="30" xfId="0" applyFont="1" applyFill="1" applyBorder="1" applyAlignment="1">
      <alignment horizontal="center"/>
    </xf>
    <xf numFmtId="0" fontId="35" fillId="0" borderId="31" xfId="0" applyFont="1" applyFill="1" applyBorder="1" applyAlignment="1">
      <alignment horizontal="center"/>
    </xf>
    <xf numFmtId="0" fontId="19" fillId="24" borderId="12" xfId="0" applyFont="1" applyFill="1" applyBorder="1" applyAlignment="1">
      <alignment horizontal="left" wrapText="1"/>
    </xf>
    <xf numFmtId="0" fontId="19" fillId="24" borderId="0" xfId="0" applyFont="1" applyFill="1" applyBorder="1" applyAlignment="1">
      <alignment horizontal="left" wrapText="1"/>
    </xf>
    <xf numFmtId="0" fontId="27" fillId="24" borderId="0" xfId="0" applyFont="1" applyFill="1" applyBorder="1" applyAlignment="1">
      <alignment wrapText="1"/>
    </xf>
    <xf numFmtId="0" fontId="12" fillId="18" borderId="14" xfId="0" applyFont="1" applyFill="1" applyBorder="1"/>
    <xf numFmtId="0" fontId="13" fillId="18" borderId="15" xfId="0" applyFont="1" applyFill="1" applyBorder="1"/>
    <xf numFmtId="0" fontId="0" fillId="13" borderId="0" xfId="0" applyFill="1" applyAlignment="1">
      <alignment wrapText="1"/>
    </xf>
    <xf numFmtId="0" fontId="10" fillId="0" borderId="24" xfId="0" applyFont="1" applyFill="1" applyBorder="1" applyAlignment="1" applyProtection="1">
      <alignment horizontal="center"/>
      <protection locked="0"/>
    </xf>
    <xf numFmtId="165" fontId="12" fillId="0" borderId="24" xfId="0" applyNumberFormat="1" applyFont="1" applyFill="1" applyBorder="1" applyAlignment="1" applyProtection="1">
      <alignment horizontal="center"/>
      <protection locked="0"/>
    </xf>
    <xf numFmtId="2" fontId="12" fillId="0" borderId="24" xfId="0" applyNumberFormat="1" applyFont="1" applyFill="1" applyBorder="1" applyAlignment="1" applyProtection="1">
      <alignment horizontal="center"/>
      <protection locked="0"/>
    </xf>
  </cellXfs>
  <cellStyles count="3">
    <cellStyle name="Monétaire" xfId="2" builtinId="4"/>
    <cellStyle name="Normal" xfId="0" builtinId="0"/>
    <cellStyle name="Pourcentage" xfId="1" builtinId="5"/>
  </cellStyles>
  <dxfs count="14">
    <dxf>
      <font>
        <b/>
        <i val="0"/>
        <color auto="1"/>
      </font>
      <fill>
        <patternFill patternType="none">
          <bgColor auto="1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  <color auto="1"/>
      </font>
      <fill>
        <patternFill patternType="none">
          <bgColor auto="1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  <color auto="1"/>
      </font>
      <fill>
        <patternFill>
          <bgColor theme="4" tint="0.79998168889431442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b/>
        <i val="0"/>
        <color auto="1"/>
      </font>
      <fill>
        <patternFill>
          <bgColor theme="9" tint="0.79998168889431442"/>
        </patternFill>
      </fill>
    </dxf>
    <dxf>
      <font>
        <b/>
        <i val="0"/>
        <color auto="1"/>
      </font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E2CF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M76"/>
  <sheetViews>
    <sheetView tabSelected="1" workbookViewId="0">
      <selection activeCell="A2" sqref="A2"/>
    </sheetView>
  </sheetViews>
  <sheetFormatPr baseColWidth="10" defaultColWidth="9.140625" defaultRowHeight="15.75" x14ac:dyDescent="0.25"/>
  <cols>
    <col min="1" max="1" width="11.85546875" style="82" customWidth="1"/>
    <col min="2" max="2" width="40.42578125" customWidth="1"/>
    <col min="3" max="3" width="30" style="40" customWidth="1"/>
    <col min="4" max="4" width="30" customWidth="1"/>
    <col min="5" max="5" width="30" style="29" customWidth="1"/>
    <col min="6" max="6" width="10.28515625" bestFit="1" customWidth="1"/>
  </cols>
  <sheetData>
    <row r="1" spans="1:9" ht="32.25" thickBot="1" x14ac:dyDescent="0.55000000000000004">
      <c r="A1" s="211" t="s">
        <v>145</v>
      </c>
      <c r="B1" s="212"/>
      <c r="C1" s="212"/>
      <c r="D1" s="212"/>
      <c r="E1" s="213"/>
    </row>
    <row r="2" spans="1:9" s="118" customFormat="1" ht="15" x14ac:dyDescent="0.25">
      <c r="A2" s="117"/>
      <c r="C2" s="119"/>
      <c r="E2" s="120"/>
    </row>
    <row r="3" spans="1:9" s="177" customFormat="1" ht="26.25" x14ac:dyDescent="0.4">
      <c r="A3" s="203" t="s">
        <v>178</v>
      </c>
      <c r="B3" s="203"/>
      <c r="C3" s="203"/>
      <c r="D3" s="203"/>
      <c r="E3" s="121"/>
      <c r="F3" s="176"/>
      <c r="G3" s="176"/>
      <c r="H3" s="176"/>
      <c r="I3" s="176"/>
    </row>
    <row r="4" spans="1:9" ht="19.5" customHeight="1" thickBot="1" x14ac:dyDescent="0.3">
      <c r="A4" s="200"/>
      <c r="B4" s="180" t="s">
        <v>152</v>
      </c>
      <c r="C4" s="180"/>
      <c r="D4" s="180"/>
      <c r="E4" s="180"/>
    </row>
    <row r="5" spans="1:9" ht="15.75" customHeight="1" thickTop="1" thickBot="1" x14ac:dyDescent="0.3">
      <c r="A5" s="200"/>
      <c r="B5" s="126" t="s">
        <v>151</v>
      </c>
      <c r="C5" s="126"/>
      <c r="D5" s="179"/>
      <c r="E5" s="125" t="s">
        <v>28</v>
      </c>
    </row>
    <row r="6" spans="1:9" ht="15.75" customHeight="1" thickTop="1" x14ac:dyDescent="0.25">
      <c r="A6" s="200"/>
      <c r="B6" s="27"/>
      <c r="C6" s="10"/>
      <c r="D6" s="28"/>
      <c r="E6" s="10"/>
    </row>
    <row r="7" spans="1:9" ht="32.25" thickBot="1" x14ac:dyDescent="0.3">
      <c r="A7" s="200"/>
      <c r="B7" s="182" t="s">
        <v>129</v>
      </c>
      <c r="C7" s="183" t="s">
        <v>125</v>
      </c>
      <c r="D7" s="183" t="s">
        <v>53</v>
      </c>
      <c r="E7" s="183" t="s">
        <v>77</v>
      </c>
    </row>
    <row r="8" spans="1:9" ht="16.899999999999999" customHeight="1" thickTop="1" thickBot="1" x14ac:dyDescent="0.3">
      <c r="A8" s="200"/>
      <c r="B8" s="87" t="s">
        <v>78</v>
      </c>
      <c r="C8" s="125" t="s">
        <v>84</v>
      </c>
      <c r="D8" s="125" t="s">
        <v>54</v>
      </c>
      <c r="E8" s="125" t="s">
        <v>75</v>
      </c>
      <c r="F8" s="83" t="str">
        <f>IF(AND(LEFT($C8,1)="C",$E8&lt;&gt;"Non"),"/!\ L'ALAE primaire n'accueille pas les collégien-nes. Merci de renseigner une classe maternelle ou élémentaire, ou ""Non"" dans la case ALAE primaire.",
IF(AND(OR(LEFT($C8,1)="M",LEFT($C8,1)="E"),ISNUMBER(SEARCH("Midi",$E8))=FALSE,$D8&lt;&gt;"Externe"),"/!\ Si votre enfant mange à la cantine ou prend un pique-nique, vous devez obligatoirement l'inscrire à l'ALAE de midi.",""))</f>
        <v/>
      </c>
    </row>
    <row r="9" spans="1:9" ht="17.25" thickTop="1" thickBot="1" x14ac:dyDescent="0.3">
      <c r="A9" s="200"/>
      <c r="B9" s="86" t="s">
        <v>35</v>
      </c>
      <c r="C9" s="125" t="s">
        <v>84</v>
      </c>
      <c r="D9" s="125" t="s">
        <v>52</v>
      </c>
      <c r="E9" s="125" t="s">
        <v>29</v>
      </c>
      <c r="F9" s="83" t="str">
        <f t="shared" ref="F9:F11" si="0">IF(AND(LEFT($C9,1)="C",$E9&lt;&gt;"Non"),"/!\ L'ALAE primaire n'accueille pas les collégien-nes. Merci de renseigner une classe maternelle ou élémentaire, ou ""Non"" dans la case ALAE primaire.",
IF(AND(OR(LEFT($C9,1)="M",LEFT($C9,1)="E"),ISNUMBER(SEARCH("Midi",$E9))=FALSE,$D9&lt;&gt;"Externe"),"/!\ Si votre enfant mange à la cantine ou prend un pique-nique, vous devez obligatoirement l'inscrire à l'ALAE de midi.",""))</f>
        <v/>
      </c>
    </row>
    <row r="10" spans="1:9" ht="17.25" thickTop="1" thickBot="1" x14ac:dyDescent="0.3">
      <c r="A10" s="200"/>
      <c r="B10" s="85" t="s">
        <v>33</v>
      </c>
      <c r="C10" s="125" t="s">
        <v>84</v>
      </c>
      <c r="D10" s="125" t="s">
        <v>52</v>
      </c>
      <c r="E10" s="125" t="s">
        <v>29</v>
      </c>
      <c r="F10" s="83" t="str">
        <f t="shared" si="0"/>
        <v/>
      </c>
    </row>
    <row r="11" spans="1:9" ht="17.25" thickTop="1" thickBot="1" x14ac:dyDescent="0.3">
      <c r="A11" s="200"/>
      <c r="B11" s="84" t="s">
        <v>34</v>
      </c>
      <c r="C11" s="125" t="s">
        <v>84</v>
      </c>
      <c r="D11" s="125" t="s">
        <v>52</v>
      </c>
      <c r="E11" s="125" t="s">
        <v>29</v>
      </c>
      <c r="F11" s="83" t="str">
        <f t="shared" si="0"/>
        <v/>
      </c>
    </row>
    <row r="12" spans="1:9" ht="15.75" customHeight="1" thickTop="1" x14ac:dyDescent="0.25">
      <c r="A12" s="200"/>
      <c r="B12" s="27"/>
      <c r="C12" s="10"/>
      <c r="D12" s="28"/>
      <c r="E12" s="10"/>
    </row>
    <row r="13" spans="1:9" ht="19.5" thickBot="1" x14ac:dyDescent="0.3">
      <c r="A13" s="200"/>
      <c r="B13" s="180" t="s">
        <v>135</v>
      </c>
      <c r="C13" s="180"/>
      <c r="D13" s="180"/>
      <c r="E13" s="180"/>
    </row>
    <row r="14" spans="1:9" ht="15.75" customHeight="1" thickTop="1" thickBot="1" x14ac:dyDescent="0.3">
      <c r="A14" s="200"/>
      <c r="B14" s="126" t="s">
        <v>86</v>
      </c>
      <c r="C14" s="126"/>
      <c r="D14" s="179"/>
      <c r="E14" s="220" t="s">
        <v>29</v>
      </c>
    </row>
    <row r="15" spans="1:9" ht="17.25" thickTop="1" thickBot="1" x14ac:dyDescent="0.3">
      <c r="A15" s="200"/>
      <c r="B15" s="126" t="s">
        <v>79</v>
      </c>
      <c r="C15" s="126"/>
      <c r="D15" s="179"/>
      <c r="E15" s="220" t="s">
        <v>29</v>
      </c>
    </row>
    <row r="16" spans="1:9" ht="17.25" thickTop="1" thickBot="1" x14ac:dyDescent="0.3">
      <c r="A16" s="200"/>
      <c r="B16" s="181" t="s">
        <v>80</v>
      </c>
      <c r="C16" s="127"/>
      <c r="D16" s="127"/>
      <c r="E16" s="220" t="s">
        <v>29</v>
      </c>
    </row>
    <row r="17" spans="1:9" ht="16.5" thickTop="1" x14ac:dyDescent="0.25">
      <c r="A17" s="200"/>
      <c r="B17" s="88"/>
      <c r="C17" s="89"/>
      <c r="D17" s="89"/>
      <c r="E17" s="28"/>
    </row>
    <row r="18" spans="1:9" ht="51" customHeight="1" thickBot="1" x14ac:dyDescent="0.3">
      <c r="A18" s="200"/>
      <c r="B18" s="180" t="s">
        <v>130</v>
      </c>
      <c r="C18" s="180"/>
      <c r="D18" s="184" t="s">
        <v>147</v>
      </c>
      <c r="E18" s="184" t="s">
        <v>148</v>
      </c>
    </row>
    <row r="19" spans="1:9" ht="16.899999999999999" customHeight="1" thickTop="1" thickBot="1" x14ac:dyDescent="0.3">
      <c r="A19" s="200"/>
      <c r="B19" s="128" t="s">
        <v>131</v>
      </c>
      <c r="C19" s="185"/>
      <c r="D19" s="221">
        <v>30000</v>
      </c>
      <c r="E19" s="221">
        <v>35000</v>
      </c>
    </row>
    <row r="20" spans="1:9" ht="16.899999999999999" customHeight="1" thickTop="1" thickBot="1" x14ac:dyDescent="0.3">
      <c r="A20" s="200"/>
      <c r="B20" s="128" t="s">
        <v>127</v>
      </c>
      <c r="C20" s="185"/>
      <c r="D20" s="222">
        <v>3</v>
      </c>
      <c r="E20" s="222">
        <v>3</v>
      </c>
    </row>
    <row r="21" spans="1:9" ht="16.149999999999999" customHeight="1" thickTop="1" x14ac:dyDescent="0.25">
      <c r="A21" s="200"/>
      <c r="B21" s="195" t="s">
        <v>83</v>
      </c>
      <c r="C21" s="196"/>
      <c r="D21" s="197"/>
      <c r="E21" s="198"/>
    </row>
    <row r="22" spans="1:9" ht="16.149999999999999" customHeight="1" x14ac:dyDescent="0.25">
      <c r="A22" s="201"/>
      <c r="B22" s="202"/>
      <c r="C22" s="202"/>
      <c r="D22" s="202"/>
      <c r="E22" s="202"/>
      <c r="F22" s="31"/>
      <c r="G22" s="10"/>
    </row>
    <row r="23" spans="1:9" ht="20.25" customHeight="1" x14ac:dyDescent="0.25">
      <c r="A23" s="219"/>
      <c r="B23" s="100" t="s">
        <v>136</v>
      </c>
      <c r="C23" s="100"/>
      <c r="D23" s="100"/>
      <c r="E23" s="100"/>
      <c r="F23" s="10"/>
      <c r="G23" s="10"/>
    </row>
    <row r="24" spans="1:9" ht="15.6" customHeight="1" x14ac:dyDescent="0.25">
      <c r="A24" s="186"/>
      <c r="B24" s="101" t="s">
        <v>132</v>
      </c>
      <c r="C24" s="101"/>
      <c r="D24" s="101"/>
      <c r="E24" s="95">
        <f>$D$19/$D$20</f>
        <v>10000</v>
      </c>
      <c r="F24" s="10"/>
      <c r="G24" s="10"/>
    </row>
    <row r="25" spans="1:9" ht="15.6" customHeight="1" x14ac:dyDescent="0.25">
      <c r="A25" s="186"/>
      <c r="B25" s="101" t="s">
        <v>180</v>
      </c>
      <c r="C25" s="101"/>
      <c r="D25" s="101"/>
      <c r="E25" s="95">
        <f>$E$19/$E$20</f>
        <v>11666.666666666666</v>
      </c>
      <c r="F25" s="10"/>
      <c r="G25" s="10"/>
    </row>
    <row r="26" spans="1:9" ht="15.75" customHeight="1" x14ac:dyDescent="0.25">
      <c r="A26" s="186"/>
      <c r="B26" s="101" t="s">
        <v>133</v>
      </c>
      <c r="C26" s="101"/>
      <c r="D26" s="101"/>
      <c r="E26" s="96">
        <f>IF(AND(E14="Oui",E15="Oui"),0.45,IF(E14="Oui",0.9,IF(E15="Oui",0.5,1)))</f>
        <v>1</v>
      </c>
      <c r="F26" s="10"/>
      <c r="G26" s="10"/>
    </row>
    <row r="27" spans="1:9" ht="15.75" customHeight="1" x14ac:dyDescent="0.3">
      <c r="A27" s="27"/>
      <c r="B27" s="10"/>
      <c r="C27" s="28"/>
      <c r="D27" s="10"/>
      <c r="F27" s="10"/>
      <c r="G27" s="30"/>
      <c r="H27" s="30"/>
      <c r="I27" s="30"/>
    </row>
    <row r="28" spans="1:9" ht="15.75" customHeight="1" x14ac:dyDescent="0.3">
      <c r="A28" s="27"/>
      <c r="B28" s="10"/>
      <c r="C28" s="28"/>
      <c r="D28" s="10"/>
      <c r="F28" s="10"/>
      <c r="G28" s="30"/>
      <c r="H28" s="30"/>
      <c r="I28" s="30"/>
    </row>
    <row r="29" spans="1:9" s="177" customFormat="1" ht="26.25" x14ac:dyDescent="0.4">
      <c r="A29" s="204" t="s">
        <v>177</v>
      </c>
      <c r="B29" s="204"/>
      <c r="C29" s="204"/>
      <c r="D29" s="204"/>
      <c r="E29" s="204"/>
      <c r="F29" s="176"/>
      <c r="G29" s="178"/>
    </row>
    <row r="30" spans="1:9" x14ac:dyDescent="0.25">
      <c r="A30" s="122" t="s">
        <v>114</v>
      </c>
      <c r="B30" s="123"/>
      <c r="C30" s="123"/>
      <c r="E30"/>
      <c r="G30" s="10"/>
    </row>
    <row r="31" spans="1:9" x14ac:dyDescent="0.25">
      <c r="A31" s="124" t="s">
        <v>126</v>
      </c>
      <c r="B31" s="123"/>
      <c r="C31" s="123"/>
      <c r="E31"/>
      <c r="G31" s="10"/>
    </row>
    <row r="32" spans="1:9" x14ac:dyDescent="0.25">
      <c r="A32" s="27"/>
      <c r="B32" s="10"/>
      <c r="C32" s="28"/>
      <c r="D32" s="10"/>
      <c r="F32" s="10"/>
      <c r="G32" s="10"/>
    </row>
    <row r="33" spans="1:13" ht="15.75" customHeight="1" x14ac:dyDescent="0.25">
      <c r="A33" s="187" t="s">
        <v>146</v>
      </c>
      <c r="B33" s="188"/>
      <c r="C33" s="189" t="s">
        <v>115</v>
      </c>
      <c r="D33" s="189" t="s">
        <v>181</v>
      </c>
      <c r="E33" s="190" t="s">
        <v>32</v>
      </c>
      <c r="F33" s="10"/>
      <c r="G33" s="10"/>
    </row>
    <row r="34" spans="1:13" ht="15.75" customHeight="1" x14ac:dyDescent="0.25">
      <c r="A34" s="191"/>
      <c r="B34" s="192"/>
      <c r="C34" s="193" t="s">
        <v>149</v>
      </c>
      <c r="D34" s="193" t="s">
        <v>116</v>
      </c>
      <c r="E34" s="194"/>
      <c r="F34" s="10"/>
      <c r="G34" s="10"/>
    </row>
    <row r="35" spans="1:13" ht="18.75" x14ac:dyDescent="0.3">
      <c r="A35" s="90"/>
      <c r="B35" s="217" t="s">
        <v>137</v>
      </c>
      <c r="C35" s="93">
        <f>C51+C59+C67+C75+SUM(C41:C43)</f>
        <v>38</v>
      </c>
      <c r="D35" s="93">
        <f>D51+D59+D67+D75+SUM(D41:D43)</f>
        <v>0</v>
      </c>
      <c r="E35" s="91">
        <f>E51+E59+E67+E75+SUM(E41:E43)</f>
        <v>38</v>
      </c>
      <c r="F35" s="10"/>
      <c r="G35" s="10"/>
    </row>
    <row r="36" spans="1:13" ht="18.75" x14ac:dyDescent="0.3">
      <c r="A36" s="216"/>
      <c r="B36" s="218" t="s">
        <v>150</v>
      </c>
      <c r="C36" s="94">
        <f>C35/4</f>
        <v>9.5</v>
      </c>
      <c r="D36" s="94">
        <f>D35/5</f>
        <v>0</v>
      </c>
      <c r="E36" s="92"/>
      <c r="F36" s="10"/>
      <c r="G36" s="10"/>
    </row>
    <row r="37" spans="1:13" ht="32.25" customHeight="1" x14ac:dyDescent="0.25">
      <c r="A37" s="215" t="s">
        <v>156</v>
      </c>
      <c r="B37" s="214"/>
      <c r="C37" s="214"/>
      <c r="D37" s="214"/>
      <c r="E37" s="214"/>
      <c r="F37" s="31"/>
      <c r="G37" s="27"/>
      <c r="H37" s="10"/>
      <c r="I37" s="28"/>
      <c r="J37" s="10"/>
      <c r="K37" s="29"/>
      <c r="L37" s="10"/>
      <c r="M37" s="10"/>
    </row>
    <row r="38" spans="1:13" ht="15.6" customHeight="1" x14ac:dyDescent="0.25">
      <c r="A38" s="32"/>
      <c r="B38" s="32"/>
      <c r="C38" s="32"/>
      <c r="D38" s="32"/>
      <c r="E38" s="32"/>
      <c r="F38" s="32"/>
      <c r="G38" s="27"/>
      <c r="H38" s="10"/>
      <c r="I38" s="28"/>
      <c r="J38" s="10"/>
      <c r="K38" s="29"/>
      <c r="L38" s="10"/>
      <c r="M38" s="10"/>
    </row>
    <row r="39" spans="1:13" ht="15.6" customHeight="1" x14ac:dyDescent="0.25">
      <c r="A39" s="205" t="s">
        <v>134</v>
      </c>
      <c r="B39" s="205"/>
      <c r="C39" s="206" t="s">
        <v>115</v>
      </c>
      <c r="D39" s="206" t="s">
        <v>181</v>
      </c>
      <c r="E39" s="207" t="s">
        <v>32</v>
      </c>
      <c r="F39" s="10"/>
      <c r="G39" s="10"/>
    </row>
    <row r="40" spans="1:13" ht="15.75" customHeight="1" x14ac:dyDescent="0.25">
      <c r="A40" s="208"/>
      <c r="B40" s="208"/>
      <c r="C40" s="209" t="s">
        <v>149</v>
      </c>
      <c r="D40" s="209" t="s">
        <v>116</v>
      </c>
      <c r="E40" s="210"/>
      <c r="F40" s="10"/>
      <c r="G40" s="10"/>
    </row>
    <row r="41" spans="1:13" x14ac:dyDescent="0.25">
      <c r="A41" s="33"/>
      <c r="B41" s="34" t="s">
        <v>153</v>
      </c>
      <c r="C41" s="35">
        <f>IF(E5="Oui",23,"-")</f>
        <v>23</v>
      </c>
      <c r="D41" s="35" t="s">
        <v>48</v>
      </c>
      <c r="E41" s="36">
        <f>SUM(C41:D41)</f>
        <v>23</v>
      </c>
      <c r="F41" s="10"/>
      <c r="G41" s="10"/>
    </row>
    <row r="42" spans="1:13" x14ac:dyDescent="0.25">
      <c r="A42" s="33"/>
      <c r="B42" s="34" t="s">
        <v>82</v>
      </c>
      <c r="C42" s="35">
        <v>15</v>
      </c>
      <c r="D42" s="35" t="s">
        <v>48</v>
      </c>
      <c r="E42" s="36">
        <f>SUM(C42:D42)</f>
        <v>15</v>
      </c>
      <c r="F42" s="10"/>
      <c r="G42" s="10"/>
    </row>
    <row r="43" spans="1:13" x14ac:dyDescent="0.25">
      <c r="A43" s="33"/>
      <c r="B43" s="37" t="s">
        <v>81</v>
      </c>
      <c r="C43" s="38" t="str">
        <f>IF(AND(E14="Non",E15="Non",E16="Oui"),15,"-")</f>
        <v>-</v>
      </c>
      <c r="D43" s="38" t="s">
        <v>48</v>
      </c>
      <c r="E43" s="39">
        <f>SUM(C43:D43)</f>
        <v>0</v>
      </c>
      <c r="F43" s="10"/>
      <c r="G43" s="10"/>
    </row>
    <row r="44" spans="1:13" s="40" customFormat="1" x14ac:dyDescent="0.25">
      <c r="A44" s="33"/>
      <c r="B44" s="10"/>
      <c r="C44" s="28"/>
      <c r="D44" s="10"/>
      <c r="E44" s="29"/>
      <c r="F44" s="10"/>
      <c r="G44" s="28"/>
    </row>
    <row r="45" spans="1:13" x14ac:dyDescent="0.25">
      <c r="A45" s="41"/>
      <c r="B45" s="42" t="str">
        <f>CONCATENATE("1er enfant : ",$C$8)</f>
        <v>1er enfant : &lt;Classe à choisir&gt;</v>
      </c>
      <c r="C45" s="43" t="s">
        <v>115</v>
      </c>
      <c r="D45" s="43" t="s">
        <v>181</v>
      </c>
      <c r="E45" s="44" t="s">
        <v>32</v>
      </c>
      <c r="F45" s="28"/>
      <c r="G45" s="10"/>
    </row>
    <row r="46" spans="1:13" x14ac:dyDescent="0.25">
      <c r="A46" s="33"/>
      <c r="B46" s="45" t="s">
        <v>69</v>
      </c>
      <c r="C46" s="46" t="str">
        <f>IF(Config!$G$2=FALSE,"-",VLOOKUP($E$24,Scolarité!$A$1:$D$24,4,TRUE)*Config!$G$8*Config!$G$9)</f>
        <v>-</v>
      </c>
      <c r="D46" s="46" t="str">
        <f>IF(Config!$G$2=FALSE,"-",VLOOKUP($E$25,Scolarité!$A$1:$D$24,4,TRUE)*Config!$G$8*Config!$G$9)</f>
        <v>-</v>
      </c>
      <c r="E46" s="47">
        <f t="shared" ref="E46:E50" si="1">SUM(C46:D46)</f>
        <v>0</v>
      </c>
      <c r="F46" s="10"/>
      <c r="G46" s="10"/>
    </row>
    <row r="47" spans="1:13" x14ac:dyDescent="0.25">
      <c r="A47" s="33"/>
      <c r="B47" s="45" t="s">
        <v>31</v>
      </c>
      <c r="C47" s="46" t="str">
        <f>IF(Config!$G$2=FALSE,"-",
IF(LEFT($C$8,1)="C",Pédagogique!$C$6*Config!$G$9,
IF(LEFT($C$8,1)="E",Pédagogique!$C$5*Config!$G$9,
IF($C$8="Maternelle - GS",Pédagogique!$C$4*Config!$G$9,
Pédagogique!$C$3*Config!$G$9))))</f>
        <v>-</v>
      </c>
      <c r="D47" s="46" t="str">
        <f>IF(Config!$G$2=FALSE,"-",
IF(LEFT($C$8,1)="C",Pédagogique!$C$6*Config!$G$9,
IF(LEFT($C$8,1)="E",Pédagogique!$C$5*Config!$G$9,
IF($C$8="Maternelle - GS",Pédagogique!$C$4*Config!$G$9,
Pédagogique!$C$3*Config!$G$9))))</f>
        <v>-</v>
      </c>
      <c r="E47" s="47">
        <f t="shared" si="1"/>
        <v>0</v>
      </c>
      <c r="F47" s="10"/>
      <c r="G47" s="10"/>
    </row>
    <row r="48" spans="1:13" x14ac:dyDescent="0.25">
      <c r="A48" s="33"/>
      <c r="B48" s="45" t="s">
        <v>128</v>
      </c>
      <c r="C48" s="46" t="str">
        <f>IF(OR(RIGHT($C$8,2)="MS",RIGHT($C$8,2)="GS",LEFT($C$8,1)="E"),Séjour!$C$3*Config!$G$9,
IF($C$8="Collège - 4e",Séjour!$C$4*Config!$G$9,"-"))</f>
        <v>-</v>
      </c>
      <c r="D48" s="46" t="str">
        <f>IF(OR(RIGHT($C$8,2)="MS",RIGHT($C$8,2)="GS",LEFT($C$8,1)="E"),Séjour!$C$3*Config!$G$9,
IF($C$8="Collège - 4e",Séjour!$C$4*Config!$G$9,"-"))</f>
        <v>-</v>
      </c>
      <c r="E48" s="47">
        <f t="shared" si="1"/>
        <v>0</v>
      </c>
      <c r="F48" s="10"/>
    </row>
    <row r="49" spans="1:7" x14ac:dyDescent="0.25">
      <c r="A49" s="33"/>
      <c r="B49" s="45" t="str">
        <f>CONCATENATE("Cantine*** : ",$D$8)</f>
        <v>Cantine*** : Demi-pension</v>
      </c>
      <c r="C49" s="46" t="str">
        <f>IF($D$8="Demi-pension",
IF(LEFT($C$8,1)="M",VLOOKUP($E$24,Cantine!$A$11:$N$32,4,TRUE)*Config!$G$9,
IF(LEFT($C$8,1)="E",VLOOKUP($E$24,Cantine!$A$11:$N$32,8,TRUE)*Config!$G$9,
IF(LEFT($C$8,1)="C",VLOOKUP($E$24,Cantine!$A$11:$N$32,12,TRUE)*Config!$G$9,"-"))),
IF(AND($D$8="Pique-nique",Config!$G$2=TRUE),Cantine!$D$3*Config!$G$9,"-"))</f>
        <v>-</v>
      </c>
      <c r="D49" s="46" t="str">
        <f>IF($D$8="Demi-pension",
IF(LEFT($C$8,1)="M",VLOOKUP($E$25,Cantine!$A$11:$N$32,5,TRUE)*Config!$G$9,
IF(LEFT($C$8,1)="E",VLOOKUP($E$25,Cantine!$A$11:$N$32,9,TRUE)*Config!$G$9,
IF(LEFT($C$8,1)="C",VLOOKUP($E$25,Cantine!$A$11:$N$32,13,TRUE)*Config!$G$9,"-"))),
IF(AND($D$8="Pique-nique",Config!$G$2=TRUE),Cantine!$D$4*Config!$G$9,"-"))</f>
        <v>-</v>
      </c>
      <c r="E49" s="47">
        <f t="shared" si="1"/>
        <v>0</v>
      </c>
    </row>
    <row r="50" spans="1:7" x14ac:dyDescent="0.25">
      <c r="A50" s="48"/>
      <c r="B50" s="45" t="str">
        <f>CONCATENATE("ALAE primaire : ",$E$8)</f>
        <v>ALAE primaire : Matin + Midi + Soir</v>
      </c>
      <c r="C50" s="46" t="str">
        <f>IF(OR(LEFT($C$8,1)="M",LEFT($C$8,1)="E"),
IF($E$8=Config!$D$3,VLOOKUP($E$24,'ALAE primaire'!$A$3:$J$28,4,TRUE)*Config!$G$9*Config!$I$2,
IF($E$8=Config!$D$4,VLOOKUP($E$24,'ALAE primaire'!$A$3:$J$28,6,TRUE)*Config!$G$9*Config!$I$2,
IF($E$8=Config!$D$5,VLOOKUP($E$24,'ALAE primaire'!$A$3:$J$28,8,TRUE)*Config!$G$9*Config!$I$2,
IF($E$8=Config!$D$6,VLOOKUP($E$24,'ALAE primaire'!$A$3:$J$28,10,TRUE)*Config!$G$9*Config!$I$2,
"-")))),"-")</f>
        <v>-</v>
      </c>
      <c r="D50" s="46" t="str">
        <f>IF(OR(LEFT($C$8,1)="M",LEFT($C$8,1)="E"),
IF($E$8=Config!$D$3,VLOOKUP($E$25,'ALAE primaire'!$A$3:$J$28,4,TRUE)*Config!$G$9*Config!$I$2,
IF($E$8=Config!$D$4,VLOOKUP($E$25,'ALAE primaire'!$A$3:$J$28,6,TRUE)*Config!$G$9*Config!$I$2,
IF($E$8=Config!$D$5,VLOOKUP($E$25,'ALAE primaire'!$A$3:$J$28,8,TRUE)*Config!$G$9*Config!$I$2,
IF($E$8=Config!$D$6,VLOOKUP($E$25,'ALAE primaire'!$A$3:$J$28,10,TRUE)*Config!$G$9*Config!$I$2,
"-")))),"-")</f>
        <v>-</v>
      </c>
      <c r="E50" s="47">
        <f t="shared" si="1"/>
        <v>0</v>
      </c>
    </row>
    <row r="51" spans="1:7" x14ac:dyDescent="0.25">
      <c r="A51" s="48"/>
      <c r="B51" s="49"/>
      <c r="C51" s="50">
        <f>SUM(C46:C50)</f>
        <v>0</v>
      </c>
      <c r="D51" s="50">
        <f>SUM(D46:D50)</f>
        <v>0</v>
      </c>
      <c r="E51" s="51">
        <f>SUM(E46:E50)</f>
        <v>0</v>
      </c>
    </row>
    <row r="52" spans="1:7" x14ac:dyDescent="0.25">
      <c r="A52" s="48"/>
      <c r="B52" s="11"/>
      <c r="C52" s="52"/>
      <c r="D52" s="52"/>
      <c r="E52" s="53"/>
    </row>
    <row r="53" spans="1:7" x14ac:dyDescent="0.25">
      <c r="A53" s="48"/>
      <c r="B53" s="54" t="str">
        <f>CONCATENATE("2ème enfant : ",$C$9)</f>
        <v>2ème enfant : &lt;Classe à choisir&gt;</v>
      </c>
      <c r="C53" s="55" t="s">
        <v>115</v>
      </c>
      <c r="D53" s="55" t="s">
        <v>181</v>
      </c>
      <c r="E53" s="56" t="s">
        <v>32</v>
      </c>
      <c r="G53" s="7"/>
    </row>
    <row r="54" spans="1:7" x14ac:dyDescent="0.25">
      <c r="A54" s="48"/>
      <c r="B54" s="57" t="s">
        <v>70</v>
      </c>
      <c r="C54" s="58" t="str">
        <f>IF(Config!$G$3=FALSE,"-",VLOOKUP($E$24,Scolarité!$A$1:$D$24,4,TRUE)*Config!$G$8*Config!$G$9*0.8)</f>
        <v>-</v>
      </c>
      <c r="D54" s="58" t="str">
        <f>IF(Config!$G$3=FALSE,"-",VLOOKUP($E$25,Scolarité!$A$1:$D$24,4,TRUE)*Config!$G$8*Config!$G$9*0.8)</f>
        <v>-</v>
      </c>
      <c r="E54" s="59">
        <f>SUM(C54:D54)</f>
        <v>0</v>
      </c>
    </row>
    <row r="55" spans="1:7" x14ac:dyDescent="0.25">
      <c r="A55" s="48"/>
      <c r="B55" s="57" t="s">
        <v>31</v>
      </c>
      <c r="C55" s="58" t="str">
        <f>IF(Config!$G$3=FALSE,"-",
IF(LEFT($C$9,1)="C",Pédagogique!$C$6*Config!$G$9,
IF(LEFT($C$9,1)="E",Pédagogique!$C$5*Config!$G$9,
IF($C$9="Maternelle - GS",Pédagogique!$C$4*Config!$G$9,
Pédagogique!$C$3*Config!$G$9))))</f>
        <v>-</v>
      </c>
      <c r="D55" s="58" t="str">
        <f>IF(Config!$G$3=FALSE,"-",
IF(LEFT($C$9,1)="C",Pédagogique!$C$6*Config!$G$9,
IF(LEFT($C$9,1)="E",Pédagogique!$C$5*Config!$G$9,
IF($C$9="Maternelle - GS",Pédagogique!$C$4*Config!$G$9,
Pédagogique!$C$3*Config!$G$9))))</f>
        <v>-</v>
      </c>
      <c r="E55" s="59">
        <f>SUM(C55:D55)</f>
        <v>0</v>
      </c>
    </row>
    <row r="56" spans="1:7" x14ac:dyDescent="0.25">
      <c r="A56" s="48"/>
      <c r="B56" s="57" t="s">
        <v>128</v>
      </c>
      <c r="C56" s="58" t="str">
        <f>IF(OR(RIGHT($C$9,2)="MS",RIGHT($C$9,2)="GS",LEFT($C$9,1)="E"),Séjour!$C$3*Config!$G$9,
IF($C$9="Collège - 4e",Séjour!$C$4*Config!$G$9,"-"))</f>
        <v>-</v>
      </c>
      <c r="D56" s="58" t="str">
        <f>IF(OR(RIGHT($C$9,2)="MS",RIGHT($C$9,2)="GS",LEFT($C$9,1)="E"),Séjour!$C$3*Config!$G$9,
IF($C$9="Collège - 4e",Séjour!$C$4*Config!$G$9,"-"))</f>
        <v>-</v>
      </c>
      <c r="E56" s="59">
        <f>SUM(C56:D56)</f>
        <v>0</v>
      </c>
    </row>
    <row r="57" spans="1:7" x14ac:dyDescent="0.25">
      <c r="A57" s="48"/>
      <c r="B57" s="57" t="str">
        <f>CONCATENATE("Cantine*** : ",$D$9)</f>
        <v>Cantine*** : Externe</v>
      </c>
      <c r="C57" s="58" t="str">
        <f>IF($D$9="Demi-pension",
IF(LEFT($C$9,1)="M",VLOOKUP($E$24,Cantine!$A$11:$N$32,4,TRUE)*Config!$G$9,
IF(LEFT($C$9,1)="E",VLOOKUP($E$24,Cantine!$A$11:$N$32,8,TRUE)*Config!$G$9,
IF(LEFT($C$9,1)="C",VLOOKUP($E$24,Cantine!$A$11:$N$32,12,TRUE)*Config!$G$9,"-"))),
IF(AND($D$9="Pique-nique",Config!$G$2=TRUE),Cantine!$D$3*Config!$G$9,"-"))</f>
        <v>-</v>
      </c>
      <c r="D57" s="58" t="str">
        <f>IF($D$9="Demi-pension",
IF(LEFT($C$9,1)="M",VLOOKUP($E$25,Cantine!$A$11:$N$32,5,TRUE)*Config!$G$9,
IF(LEFT($C$9,1)="E",VLOOKUP($E$25,Cantine!$A$11:$N$32,9,TRUE)*Config!$G$9,
IF(LEFT($C$9,1)="C",VLOOKUP($E$25,Cantine!$A$11:$N$32,13,TRUE)*Config!$G$9,"-"))),
IF(AND($D$9="Pique-nique",Config!$G$3=TRUE),Cantine!$D$4*Config!$G$9,"-"))</f>
        <v>-</v>
      </c>
      <c r="E57" s="59">
        <f t="shared" ref="E57:E58" si="2">SUM(C57:D57)</f>
        <v>0</v>
      </c>
      <c r="F57" s="60"/>
    </row>
    <row r="58" spans="1:7" x14ac:dyDescent="0.25">
      <c r="A58" s="48"/>
      <c r="B58" s="57" t="str">
        <f>CONCATENATE("ALAE primaire : ",$E$9)</f>
        <v>ALAE primaire : Non</v>
      </c>
      <c r="C58" s="58" t="str">
        <f>IF(OR(LEFT($C$9,1)="M",LEFT($C$9,1)="E"),
IF($E$9=Config!$D$3,VLOOKUP($E$24,'ALAE primaire'!$A$3:$J$28,4,TRUE)*Config!$G$9*Config!$I$3,
IF($E$9=Config!$D$4,VLOOKUP($E$24,'ALAE primaire'!$A$3:$J$28,6,TRUE)*Config!$G$9*Config!$I$3,
IF($E$9=Config!$D$5,VLOOKUP($E$24,'ALAE primaire'!$A$3:$J$28,8,TRUE)*Config!$G$9*Config!$I$3,
IF($E$9=Config!$D$6,VLOOKUP($E$24,'ALAE primaire'!$A$3:$J$28,10,TRUE)*Config!$G$9*Config!$I$3,
"-")))),"-")</f>
        <v>-</v>
      </c>
      <c r="D58" s="58" t="str">
        <f>IF(OR(LEFT($C$9,1)="M",LEFT($C$9,1)="E"),
IF($E$9=Config!$D$3,VLOOKUP($E$25,'ALAE primaire'!$A$3:$J$28,4,TRUE)*Config!$G$9*Config!$I$3,
IF($E$9=Config!$D$4,VLOOKUP($E$25,'ALAE primaire'!$A$3:$J$28,6,TRUE)*Config!$G$9*Config!$I$3,
IF($E$9=Config!$D$5,VLOOKUP($E$25,'ALAE primaire'!$A$3:$J$28,8,TRUE)*Config!$G$9*Config!$I$3,
IF($E$9=Config!$D$6,VLOOKUP($E$25,'ALAE primaire'!$A$3:$J$28,10,TRUE)*Config!$G$9*Config!$I$3,
"-")))),"-")</f>
        <v>-</v>
      </c>
      <c r="E58" s="59">
        <f t="shared" si="2"/>
        <v>0</v>
      </c>
      <c r="F58" s="60"/>
    </row>
    <row r="59" spans="1:7" x14ac:dyDescent="0.25">
      <c r="A59" s="48"/>
      <c r="B59" s="61"/>
      <c r="C59" s="62">
        <f>SUM(C54:C58)</f>
        <v>0</v>
      </c>
      <c r="D59" s="62">
        <f>SUM(D54:D58)</f>
        <v>0</v>
      </c>
      <c r="E59" s="63">
        <f>SUM(E54:E58)</f>
        <v>0</v>
      </c>
    </row>
    <row r="60" spans="1:7" x14ac:dyDescent="0.25">
      <c r="A60" s="48"/>
      <c r="B60" s="11"/>
      <c r="C60" s="53"/>
      <c r="D60" s="53"/>
      <c r="E60" s="53"/>
    </row>
    <row r="61" spans="1:7" x14ac:dyDescent="0.25">
      <c r="A61" s="48"/>
      <c r="B61" s="64" t="str">
        <f>CONCATENATE("3ème enfant : ",$C$10)</f>
        <v>3ème enfant : &lt;Classe à choisir&gt;</v>
      </c>
      <c r="C61" s="65" t="s">
        <v>115</v>
      </c>
      <c r="D61" s="65" t="s">
        <v>181</v>
      </c>
      <c r="E61" s="66" t="s">
        <v>32</v>
      </c>
    </row>
    <row r="62" spans="1:7" x14ac:dyDescent="0.25">
      <c r="A62" s="48"/>
      <c r="B62" s="67" t="s">
        <v>71</v>
      </c>
      <c r="C62" s="68" t="str">
        <f>IF(Config!$G$4=FALSE,"-",VLOOKUP($E$24,Scolarité!$A$1:$D$24,4,TRUE)*Config!$G$8*Config!$G$9*0.7)</f>
        <v>-</v>
      </c>
      <c r="D62" s="68" t="str">
        <f>IF(Config!$G$4=FALSE,"-",VLOOKUP($E$25,Scolarité!$A$1:$D$24,4,TRUE)*Config!$G$8*Config!$G$9*0.7)</f>
        <v>-</v>
      </c>
      <c r="E62" s="69">
        <f t="shared" ref="E62:E66" si="3">SUM(C62:D62)</f>
        <v>0</v>
      </c>
    </row>
    <row r="63" spans="1:7" x14ac:dyDescent="0.25">
      <c r="A63" s="48"/>
      <c r="B63" s="67" t="s">
        <v>31</v>
      </c>
      <c r="C63" s="68" t="str">
        <f>IF(Config!$G$4=FALSE,"-",
IF(LEFT($C$10,1)="C",Pédagogique!$C$6*Config!$G$9,
IF(LEFT($C$10,1)="E",Pédagogique!$C$5*Config!$G$9,
IF($C$10="Maternelle - GS",Pédagogique!$C$4*Config!$G$9,
Pédagogique!$C$3*Config!$G$9))))</f>
        <v>-</v>
      </c>
      <c r="D63" s="68" t="str">
        <f>IF(Config!$G$4=FALSE,"-",
IF(LEFT($C$10,1)="C",Pédagogique!$C$6*Config!$G$9,
IF(LEFT($C$10,1)="E",Pédagogique!$C$5*Config!$G$9,
IF($C$10="Maternelle - GS",Pédagogique!$C$4*Config!$G$9,
Pédagogique!$C$3*Config!$G$9))))</f>
        <v>-</v>
      </c>
      <c r="E63" s="69">
        <f t="shared" si="3"/>
        <v>0</v>
      </c>
    </row>
    <row r="64" spans="1:7" x14ac:dyDescent="0.25">
      <c r="A64" s="48"/>
      <c r="B64" s="67" t="s">
        <v>128</v>
      </c>
      <c r="C64" s="68" t="str">
        <f>IF(OR(RIGHT($C$10,2)="MS",RIGHT($C$10,2)="GS",LEFT($C$10,1)="E"),Séjour!$C$3*Config!$G$9,
IF($C$10="Collège - 4e",Séjour!$C$4*Config!$G$9,"-"))</f>
        <v>-</v>
      </c>
      <c r="D64" s="68" t="str">
        <f>IF(OR(RIGHT($C$10,2)="MS",RIGHT($C$10,2)="GS",LEFT($C$10,1)="E"),Séjour!$C$3*Config!$G$9,
IF($C$10="Collège - 4e",Séjour!$C$4*Config!$G$9,"-"))</f>
        <v>-</v>
      </c>
      <c r="E64" s="69">
        <f t="shared" si="3"/>
        <v>0</v>
      </c>
    </row>
    <row r="65" spans="1:6" x14ac:dyDescent="0.25">
      <c r="A65" s="48"/>
      <c r="B65" s="67" t="str">
        <f>CONCATENATE("Cantine*** : ",$D$10)</f>
        <v>Cantine*** : Externe</v>
      </c>
      <c r="C65" s="68" t="str">
        <f>IF($D$10="Demi-pension",
IF(LEFT($C$10,1)="M",VLOOKUP($E$24,Cantine!$A$11:$N$32,4,TRUE)*Config!$G$9,
IF(LEFT($C$10,1)="E",VLOOKUP($E$24,Cantine!$A$11:$N$32,8,TRUE)*Config!$G$9,
IF(LEFT($C$10,1)="C",VLOOKUP($E$24,Cantine!$A$11:$N$32,12,TRUE)*Config!$G$9,"-"))),
IF(AND($D$10="Pique-nique",Config!$G$2=TRUE),Cantine!$D$3*Config!$G$9,"-"))</f>
        <v>-</v>
      </c>
      <c r="D65" s="68" t="str">
        <f>IF($D$10="Demi-pension",
IF(LEFT($C$10,1)="M",VLOOKUP($E$25,Cantine!$A$11:$N$32,5,TRUE)*Config!$G$9,
IF(LEFT($C$10,1)="E",VLOOKUP($E$25,Cantine!$A$11:$N$32,9,TRUE)*Config!$G$9,
IF(LEFT($C$10,1)="C",VLOOKUP($E$25,Cantine!$A$11:$N$32,13,TRUE)*Config!$G$9,"-"))),
IF(AND($D$10="Pique-nique",Config!$G$3=TRUE),Cantine!$D$4*Config!$G$9,"-"))</f>
        <v>-</v>
      </c>
      <c r="E65" s="69">
        <f t="shared" si="3"/>
        <v>0</v>
      </c>
      <c r="F65" s="60"/>
    </row>
    <row r="66" spans="1:6" x14ac:dyDescent="0.25">
      <c r="A66" s="48"/>
      <c r="B66" s="67" t="str">
        <f>CONCATENATE("ALAE primaire : ",$E$10)</f>
        <v>ALAE primaire : Non</v>
      </c>
      <c r="C66" s="68" t="str">
        <f>IF(OR(LEFT($C$10,1)="M",LEFT($C$10,1)="E"),
IF($E$10=Config!$D$3,VLOOKUP($E$24,'ALAE primaire'!$A$3:$J$28,4,TRUE)*Config!$G$9*Config!$I$4,
IF($E$10=Config!$D$4,VLOOKUP($E$24,'ALAE primaire'!$A$3:$J$28,6,TRUE)*Config!$G$9*Config!$I$4,
IF($E$10=Config!$D$5,VLOOKUP($E$24,'ALAE primaire'!$A$3:$J$28,8,TRUE)*Config!$G$9*Config!$I$4,
IF($E$10=Config!$D$6,VLOOKUP($E$24,'ALAE primaire'!$A$3:$J$28,10,TRUE)*Config!$G$9*Config!$I$4,
"-")))),"-")</f>
        <v>-</v>
      </c>
      <c r="D66" s="68" t="str">
        <f>IF(OR(LEFT($C$10,1)="M",LEFT($C$10,1)="E"),
IF($E$10=Config!$D$3,VLOOKUP($E$25,'ALAE primaire'!$A$3:$J$28,4,TRUE)*Config!$G$9*Config!$I$4,
IF($E$10=Config!$D$4,VLOOKUP($E$25,'ALAE primaire'!$A$3:$J$28,6,TRUE)*Config!$G$9*Config!$I$4,
IF($E$10=Config!$D$5,VLOOKUP($E$25,'ALAE primaire'!$A$3:$J$28,8,TRUE)*Config!$G$9*Config!$I$4,
IF($E$10=Config!$D$6,VLOOKUP($E$25,'ALAE primaire'!$A$3:$J$28,10,TRUE)*Config!$G$9*Config!$I$4,
"-")))),"-")</f>
        <v>-</v>
      </c>
      <c r="E66" s="69">
        <f t="shared" si="3"/>
        <v>0</v>
      </c>
      <c r="F66" s="60"/>
    </row>
    <row r="67" spans="1:6" x14ac:dyDescent="0.25">
      <c r="A67" s="48"/>
      <c r="B67" s="70"/>
      <c r="C67" s="71">
        <f>SUM(C62:C66)</f>
        <v>0</v>
      </c>
      <c r="D67" s="71">
        <f>SUM(D62:D66)</f>
        <v>0</v>
      </c>
      <c r="E67" s="72">
        <f>SUM(E62:E66)</f>
        <v>0</v>
      </c>
    </row>
    <row r="68" spans="1:6" x14ac:dyDescent="0.25">
      <c r="A68" s="48"/>
      <c r="B68" s="11"/>
      <c r="C68" s="53"/>
      <c r="D68" s="53"/>
      <c r="E68" s="53"/>
    </row>
    <row r="69" spans="1:6" x14ac:dyDescent="0.25">
      <c r="A69" s="48"/>
      <c r="B69" s="73" t="str">
        <f>CONCATENATE("4ème enfant : ",$C$11)</f>
        <v>4ème enfant : &lt;Classe à choisir&gt;</v>
      </c>
      <c r="C69" s="74" t="s">
        <v>115</v>
      </c>
      <c r="D69" s="74" t="s">
        <v>181</v>
      </c>
      <c r="E69" s="75" t="s">
        <v>32</v>
      </c>
    </row>
    <row r="70" spans="1:6" x14ac:dyDescent="0.25">
      <c r="A70" s="48"/>
      <c r="B70" s="76" t="s">
        <v>71</v>
      </c>
      <c r="C70" s="77" t="str">
        <f>IF(Config!$G$5=FALSE,"-",VLOOKUP($E$24,Scolarité!$A$1:$D$24,4,TRUE)*Config!$G$8*Config!$G$9*0.7)</f>
        <v>-</v>
      </c>
      <c r="D70" s="77" t="str">
        <f>IF(Config!$G$5=FALSE,"-",VLOOKUP($E$25,Scolarité!$A$1:$D$24,4,TRUE)*Config!$G$8*Config!$G$9*0.7)</f>
        <v>-</v>
      </c>
      <c r="E70" s="78">
        <f t="shared" ref="E70:E74" si="4">SUM(C70:D70)</f>
        <v>0</v>
      </c>
    </row>
    <row r="71" spans="1:6" x14ac:dyDescent="0.25">
      <c r="A71" s="48"/>
      <c r="B71" s="76" t="s">
        <v>31</v>
      </c>
      <c r="C71" s="77" t="str">
        <f>IF(Config!$G$5=FALSE,"-",
IF(LEFT($C$11,1)="C",Pédagogique!$C$6*Config!$G$9,
IF(LEFT($C$11,1)="E",Pédagogique!$C$5*Config!$G$9,
IF($C$11="Maternelle - GS",Pédagogique!$C$4*Config!$G$9,
Pédagogique!$C$3*Config!$G$9))))</f>
        <v>-</v>
      </c>
      <c r="D71" s="77" t="str">
        <f>IF(Config!$G$5=FALSE,"-",
IF(LEFT($C$11,1)="C",Pédagogique!$C$6*Config!$G$9,
IF(LEFT($C$11,1)="E",Pédagogique!$C$5*Config!$G$9,
IF($C$11="Maternelle - GS",Pédagogique!$C$4*Config!$G$9,
Pédagogique!$C$3*Config!$G$9))))</f>
        <v>-</v>
      </c>
      <c r="E71" s="78">
        <f t="shared" si="4"/>
        <v>0</v>
      </c>
    </row>
    <row r="72" spans="1:6" x14ac:dyDescent="0.25">
      <c r="A72" s="48"/>
      <c r="B72" s="76" t="s">
        <v>128</v>
      </c>
      <c r="C72" s="77" t="str">
        <f>IF(OR(RIGHT($C$11,2)="MS",RIGHT($C$11,2)="GS",LEFT($C$11,1)="E"),Séjour!$C$3*Config!$G$9,
IF($C$11="Collège - 4e",Séjour!$C$4*Config!$G$9,"-"))</f>
        <v>-</v>
      </c>
      <c r="D72" s="77" t="str">
        <f>IF(OR(RIGHT($C$11,2)="MS",RIGHT($C$11,2)="GS",LEFT($C$11,1)="E"),Séjour!$C$3*Config!$G$9,
IF($C$11="Collège - 4e",Séjour!$C$4*Config!$G$9,"-"))</f>
        <v>-</v>
      </c>
      <c r="E72" s="78">
        <f t="shared" si="4"/>
        <v>0</v>
      </c>
    </row>
    <row r="73" spans="1:6" x14ac:dyDescent="0.25">
      <c r="A73" s="48"/>
      <c r="B73" s="76" t="str">
        <f>CONCATENATE("Cantine*** : ",$D$11)</f>
        <v>Cantine*** : Externe</v>
      </c>
      <c r="C73" s="77" t="str">
        <f>IF($D$11="Demi-pension",
IF(LEFT($C$11,1)="M",VLOOKUP($E$24,Cantine!$A$11:$N$32,4,TRUE)*Config!$G$9,
IF(LEFT($C$11,1)="E",VLOOKUP($E$24,Cantine!$A$11:$N$32,8,TRUE)*Config!$G$9,
IF(LEFT($C$11,1)="C",VLOOKUP($E$24,Cantine!$A$11:$N$32,12,TRUE)*Config!$G$9,"-"))),
IF(AND($D$11="Pique-nique",Config!$G$2=TRUE),Cantine!$D$3*Config!$G$9,"-"))</f>
        <v>-</v>
      </c>
      <c r="D73" s="77" t="str">
        <f>IF($D$11="Demi-pension",
IF(LEFT($C$11,1)="M",VLOOKUP($E$25,Cantine!$A$11:$N$32,5,TRUE)*Config!$G$9,
IF(LEFT($C$11,1)="E",VLOOKUP($E$25,Cantine!$A$11:$N$32,9,TRUE)*Config!$G$9,
IF(LEFT($C$11,1)="C",VLOOKUP($E$25,Cantine!$A$11:$N$32,13,TRUE)*Config!$G$9,"-"))),
IF(AND($D$11="Pique-nique",Config!$G$3=TRUE),Cantine!$D$4*Config!$G$9,"-"))</f>
        <v>-</v>
      </c>
      <c r="E73" s="78">
        <f t="shared" si="4"/>
        <v>0</v>
      </c>
      <c r="F73" s="60"/>
    </row>
    <row r="74" spans="1:6" x14ac:dyDescent="0.25">
      <c r="A74" s="48"/>
      <c r="B74" s="76" t="str">
        <f>CONCATENATE("ALAE primaire : ",$E$11)</f>
        <v>ALAE primaire : Non</v>
      </c>
      <c r="C74" s="77" t="str">
        <f>IF(OR(LEFT($C$11,1)="M",LEFT($C$11,1)="E"),
IF($E$11=Config!$D$3,VLOOKUP($E$24,'ALAE primaire'!$A$3:$J$24,4,TRUE)*Config!$G$9*Config!$I$5,
IF($E$11=Config!$D$4,VLOOKUP($E$24,'ALAE primaire'!$A$3:$J$24,6,TRUE)*Config!$G$9*Config!$I$5,
IF($E$11=Config!$D$5,VLOOKUP($E$24,'ALAE primaire'!$A$3:$J$24,8,TRUE)*Config!$G$9*Config!$I$5,
IF($E$11=Config!$D$6,VLOOKUP($E$24,'ALAE primaire'!$A$3:$J$24,10,TRUE)*Config!$G$9*Config!$I$5,
"-")))),"-")</f>
        <v>-</v>
      </c>
      <c r="D74" s="77" t="str">
        <f>IF(OR(LEFT($C$11,1)="M",LEFT($C$11,1)="E"),
IF($E$11=Config!$D$3,VLOOKUP($E$25,'ALAE primaire'!$A$3:$J$24,4,TRUE)*Config!$G$9*Config!$I$5,
IF($E$11=Config!$D$4,VLOOKUP($E$25,'ALAE primaire'!$A$3:$J$24,6,TRUE)*Config!$G$9*Config!$I$5,
IF($E$11=Config!$D$5,VLOOKUP($E$25,'ALAE primaire'!$A$3:$J$24,8,TRUE)*Config!$G$9*Config!$I$5,
IF($E$11=Config!$D$6,VLOOKUP($E$25,'ALAE primaire'!$A$3:$J$24,10,TRUE)*Config!$G$9*Config!$I$5,
"-")))),"-")</f>
        <v>-</v>
      </c>
      <c r="E74" s="78">
        <f t="shared" si="4"/>
        <v>0</v>
      </c>
      <c r="F74" s="60"/>
    </row>
    <row r="75" spans="1:6" x14ac:dyDescent="0.25">
      <c r="A75" s="48"/>
      <c r="B75" s="79"/>
      <c r="C75" s="80">
        <f>SUM(C70:C74)</f>
        <v>0</v>
      </c>
      <c r="D75" s="80">
        <f>SUM(D70:D74)</f>
        <v>0</v>
      </c>
      <c r="E75" s="81">
        <f>SUM(E70:E74)</f>
        <v>0</v>
      </c>
    </row>
    <row r="76" spans="1:6" ht="33.75" customHeight="1" x14ac:dyDescent="0.25">
      <c r="A76" s="199" t="s">
        <v>179</v>
      </c>
      <c r="B76" s="199"/>
      <c r="C76" s="199"/>
      <c r="D76" s="199"/>
      <c r="E76" s="199"/>
      <c r="F76" s="31"/>
    </row>
  </sheetData>
  <sheetProtection sheet="1" objects="1" scenarios="1"/>
  <mergeCells count="19">
    <mergeCell ref="B4:E4"/>
    <mergeCell ref="B23:E23"/>
    <mergeCell ref="A3:D3"/>
    <mergeCell ref="A29:E29"/>
    <mergeCell ref="A1:E1"/>
    <mergeCell ref="B18:C18"/>
    <mergeCell ref="B24:D24"/>
    <mergeCell ref="B25:D25"/>
    <mergeCell ref="B26:D26"/>
    <mergeCell ref="B13:E13"/>
    <mergeCell ref="B5:D5"/>
    <mergeCell ref="A76:E76"/>
    <mergeCell ref="B19:C19"/>
    <mergeCell ref="B20:C20"/>
    <mergeCell ref="B14:D14"/>
    <mergeCell ref="B15:D15"/>
    <mergeCell ref="A39:B40"/>
    <mergeCell ref="A33:B34"/>
    <mergeCell ref="A37:E37"/>
  </mergeCells>
  <conditionalFormatting sqref="C8">
    <cfRule type="cellIs" dxfId="13" priority="14" operator="notEqual">
      <formula>"&lt;Classe à choisir&gt;"</formula>
    </cfRule>
  </conditionalFormatting>
  <conditionalFormatting sqref="C9">
    <cfRule type="cellIs" dxfId="12" priority="12" operator="notEqual">
      <formula>"&lt;Classe à choisir&gt;"</formula>
    </cfRule>
  </conditionalFormatting>
  <conditionalFormatting sqref="C10">
    <cfRule type="cellIs" dxfId="11" priority="10" operator="notEqual">
      <formula>"&lt;Classe à choisir&gt;"</formula>
    </cfRule>
  </conditionalFormatting>
  <conditionalFormatting sqref="C11">
    <cfRule type="cellIs" dxfId="10" priority="8" operator="notEqual">
      <formula>"&lt;Classe à choisir&gt;"</formula>
    </cfRule>
  </conditionalFormatting>
  <conditionalFormatting sqref="D8">
    <cfRule type="cellIs" dxfId="9" priority="13" operator="notEqual">
      <formula>"Externe"</formula>
    </cfRule>
  </conditionalFormatting>
  <conditionalFormatting sqref="D9">
    <cfRule type="cellIs" dxfId="8" priority="11" operator="notEqual">
      <formula>"Externe"</formula>
    </cfRule>
  </conditionalFormatting>
  <conditionalFormatting sqref="D10">
    <cfRule type="cellIs" dxfId="7" priority="9" operator="notEqual">
      <formula>"Externe"</formula>
    </cfRule>
  </conditionalFormatting>
  <conditionalFormatting sqref="D11">
    <cfRule type="cellIs" dxfId="6" priority="7" operator="notEqual">
      <formula>"Externe"</formula>
    </cfRule>
  </conditionalFormatting>
  <conditionalFormatting sqref="E14:E17">
    <cfRule type="cellIs" dxfId="5" priority="6" operator="equal">
      <formula>"Oui"</formula>
    </cfRule>
  </conditionalFormatting>
  <conditionalFormatting sqref="E8">
    <cfRule type="cellIs" dxfId="4" priority="5" operator="notEqual">
      <formula>"Non"</formula>
    </cfRule>
  </conditionalFormatting>
  <conditionalFormatting sqref="E9">
    <cfRule type="cellIs" dxfId="3" priority="4" operator="notEqual">
      <formula>"Non"</formula>
    </cfRule>
  </conditionalFormatting>
  <conditionalFormatting sqref="E10">
    <cfRule type="cellIs" dxfId="2" priority="3" operator="notEqual">
      <formula>"Non"</formula>
    </cfRule>
  </conditionalFormatting>
  <conditionalFormatting sqref="E11">
    <cfRule type="cellIs" dxfId="1" priority="2" operator="notEqual">
      <formula>"Non"</formula>
    </cfRule>
  </conditionalFormatting>
  <conditionalFormatting sqref="E5">
    <cfRule type="cellIs" dxfId="0" priority="1" operator="equal">
      <formula>"Oui"</formula>
    </cfRule>
  </conditionalFormatting>
  <dataValidations count="1">
    <dataValidation showInputMessage="1" showErrorMessage="1" sqref="D7" xr:uid="{00000000-0002-0000-0000-000000000000}"/>
  </dataValidations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errorTitle="Choix du niveau de classe" error="Veuillez choisir le niveau de classe parmi les propositions de la liste déroulante." xr:uid="{00000000-0002-0000-0000-000001000000}">
          <x14:formula1>
            <xm:f>Config!$B$2:$B$15</xm:f>
          </x14:formula1>
          <xm:sqref>C9:C11</xm:sqref>
        </x14:dataValidation>
        <x14:dataValidation type="list" allowBlank="1" showInputMessage="1" showErrorMessage="1" errorTitle="Choix du niveau de classe" error="Veuillez choisir le niveau de classe parmi les propositions de la liste déroulante." xr:uid="{00000000-0002-0000-0000-000002000000}">
          <x14:formula1>
            <xm:f>Config!$B$2:$B$15</xm:f>
          </x14:formula1>
          <xm:sqref>C8</xm:sqref>
        </x14:dataValidation>
        <x14:dataValidation type="list" showInputMessage="1" showErrorMessage="1" errorTitle="Choix" error="Veuillez saisir Oui ou Non." xr:uid="{00000000-0002-0000-0000-000003000000}">
          <x14:formula1>
            <xm:f>Config!$C$2:$C$4</xm:f>
          </x14:formula1>
          <xm:sqref>D8:D11</xm:sqref>
        </x14:dataValidation>
        <x14:dataValidation type="list" showInputMessage="1" showErrorMessage="1" errorTitle="Choix" error="Veuillez saisir Oui ou Non." xr:uid="{00000000-0002-0000-0000-000004000000}">
          <x14:formula1>
            <xm:f>Config!$D$2:$D$6</xm:f>
          </x14:formula1>
          <xm:sqref>E8:E11</xm:sqref>
        </x14:dataValidation>
        <x14:dataValidation type="list" showInputMessage="1" showErrorMessage="1" errorTitle="Choix" error="Veuillez saisir Oui ou Non." xr:uid="{00000000-0002-0000-0000-000005000000}">
          <x14:formula1>
            <xm:f>Config!$A$2:$A$3</xm:f>
          </x14:formula1>
          <xm:sqref>E14:E17</xm:sqref>
        </x14:dataValidation>
        <x14:dataValidation type="list" allowBlank="1" showInputMessage="1" showErrorMessage="1" xr:uid="{616FDD12-172B-4E2C-A3E5-35075E0F3522}">
          <x14:formula1>
            <xm:f>Config!$A$2:$A$3</xm:f>
          </x14:formula1>
          <xm:sqref>E5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4"/>
  <sheetViews>
    <sheetView workbookViewId="0"/>
  </sheetViews>
  <sheetFormatPr baseColWidth="10" defaultRowHeight="15" x14ac:dyDescent="0.25"/>
  <cols>
    <col min="1" max="1" width="12.5703125" bestFit="1" customWidth="1"/>
    <col min="2" max="2" width="30.140625" customWidth="1"/>
    <col min="3" max="3" width="27.5703125" customWidth="1"/>
    <col min="4" max="4" width="25.7109375" customWidth="1"/>
  </cols>
  <sheetData>
    <row r="1" spans="1:4" ht="16.5" thickBot="1" x14ac:dyDescent="0.3">
      <c r="A1" s="118"/>
      <c r="B1" s="102" t="s">
        <v>154</v>
      </c>
      <c r="C1" s="104" t="s">
        <v>161</v>
      </c>
      <c r="D1" s="105"/>
    </row>
    <row r="2" spans="1:4" ht="16.5" thickBot="1" x14ac:dyDescent="0.3">
      <c r="A2" s="118" t="s">
        <v>27</v>
      </c>
      <c r="B2" s="103"/>
      <c r="C2" s="1" t="s">
        <v>0</v>
      </c>
      <c r="D2" s="2" t="s">
        <v>87</v>
      </c>
    </row>
    <row r="3" spans="1:4" ht="16.5" thickBot="1" x14ac:dyDescent="0.3">
      <c r="A3" s="118">
        <v>0</v>
      </c>
      <c r="B3" s="129" t="s">
        <v>1</v>
      </c>
      <c r="C3" s="130">
        <v>200</v>
      </c>
      <c r="D3" s="131">
        <f>C3/2</f>
        <v>100</v>
      </c>
    </row>
    <row r="4" spans="1:4" ht="16.5" thickBot="1" x14ac:dyDescent="0.3">
      <c r="A4" s="118">
        <v>2000</v>
      </c>
      <c r="B4" s="129" t="s">
        <v>2</v>
      </c>
      <c r="C4" s="130">
        <v>295</v>
      </c>
      <c r="D4" s="131">
        <f t="shared" ref="D4:D24" si="0">C4/2</f>
        <v>147.5</v>
      </c>
    </row>
    <row r="5" spans="1:4" ht="16.5" thickBot="1" x14ac:dyDescent="0.3">
      <c r="A5" s="118">
        <v>3000</v>
      </c>
      <c r="B5" s="129" t="s">
        <v>3</v>
      </c>
      <c r="C5" s="130">
        <v>405</v>
      </c>
      <c r="D5" s="131">
        <f t="shared" si="0"/>
        <v>202.5</v>
      </c>
    </row>
    <row r="6" spans="1:4" ht="16.5" thickBot="1" x14ac:dyDescent="0.3">
      <c r="A6" s="118">
        <v>4000</v>
      </c>
      <c r="B6" s="129" t="s">
        <v>4</v>
      </c>
      <c r="C6" s="130">
        <v>515</v>
      </c>
      <c r="D6" s="131">
        <f t="shared" si="0"/>
        <v>257.5</v>
      </c>
    </row>
    <row r="7" spans="1:4" ht="16.5" thickBot="1" x14ac:dyDescent="0.3">
      <c r="A7" s="118">
        <v>5000</v>
      </c>
      <c r="B7" s="129" t="s">
        <v>5</v>
      </c>
      <c r="C7" s="130">
        <v>625</v>
      </c>
      <c r="D7" s="131">
        <f t="shared" si="0"/>
        <v>312.5</v>
      </c>
    </row>
    <row r="8" spans="1:4" ht="16.5" thickBot="1" x14ac:dyDescent="0.3">
      <c r="A8" s="118">
        <v>6000</v>
      </c>
      <c r="B8" s="129" t="s">
        <v>6</v>
      </c>
      <c r="C8" s="130">
        <v>735</v>
      </c>
      <c r="D8" s="131">
        <f t="shared" si="0"/>
        <v>367.5</v>
      </c>
    </row>
    <row r="9" spans="1:4" ht="16.5" thickBot="1" x14ac:dyDescent="0.3">
      <c r="A9" s="118">
        <v>7000</v>
      </c>
      <c r="B9" s="129" t="s">
        <v>7</v>
      </c>
      <c r="C9" s="130">
        <v>845</v>
      </c>
      <c r="D9" s="131">
        <f t="shared" si="0"/>
        <v>422.5</v>
      </c>
    </row>
    <row r="10" spans="1:4" ht="16.5" thickBot="1" x14ac:dyDescent="0.3">
      <c r="A10" s="118">
        <v>8000</v>
      </c>
      <c r="B10" s="129" t="s">
        <v>8</v>
      </c>
      <c r="C10" s="130">
        <v>955</v>
      </c>
      <c r="D10" s="131">
        <f t="shared" si="0"/>
        <v>477.5</v>
      </c>
    </row>
    <row r="11" spans="1:4" ht="16.5" thickBot="1" x14ac:dyDescent="0.3">
      <c r="A11" s="118">
        <v>9000</v>
      </c>
      <c r="B11" s="129" t="s">
        <v>9</v>
      </c>
      <c r="C11" s="130">
        <v>1065</v>
      </c>
      <c r="D11" s="131">
        <f t="shared" si="0"/>
        <v>532.5</v>
      </c>
    </row>
    <row r="12" spans="1:4" ht="16.5" thickBot="1" x14ac:dyDescent="0.3">
      <c r="A12" s="118">
        <v>10000</v>
      </c>
      <c r="B12" s="129" t="s">
        <v>10</v>
      </c>
      <c r="C12" s="130">
        <v>1175</v>
      </c>
      <c r="D12" s="131">
        <f t="shared" si="0"/>
        <v>587.5</v>
      </c>
    </row>
    <row r="13" spans="1:4" ht="16.5" thickBot="1" x14ac:dyDescent="0.3">
      <c r="A13" s="118">
        <v>11000</v>
      </c>
      <c r="B13" s="129" t="s">
        <v>11</v>
      </c>
      <c r="C13" s="130">
        <v>1285</v>
      </c>
      <c r="D13" s="131">
        <f t="shared" si="0"/>
        <v>642.5</v>
      </c>
    </row>
    <row r="14" spans="1:4" ht="16.5" thickBot="1" x14ac:dyDescent="0.3">
      <c r="A14" s="118">
        <v>12000</v>
      </c>
      <c r="B14" s="129" t="s">
        <v>12</v>
      </c>
      <c r="C14" s="130">
        <v>1460</v>
      </c>
      <c r="D14" s="131">
        <f t="shared" si="0"/>
        <v>730</v>
      </c>
    </row>
    <row r="15" spans="1:4" ht="16.5" thickBot="1" x14ac:dyDescent="0.3">
      <c r="A15" s="118">
        <v>13000</v>
      </c>
      <c r="B15" s="129" t="s">
        <v>13</v>
      </c>
      <c r="C15" s="130">
        <v>1660</v>
      </c>
      <c r="D15" s="131">
        <f t="shared" si="0"/>
        <v>830</v>
      </c>
    </row>
    <row r="16" spans="1:4" ht="16.5" thickBot="1" x14ac:dyDescent="0.3">
      <c r="A16" s="118">
        <v>14000</v>
      </c>
      <c r="B16" s="129" t="s">
        <v>14</v>
      </c>
      <c r="C16" s="130">
        <v>1860</v>
      </c>
      <c r="D16" s="131">
        <f t="shared" si="0"/>
        <v>930</v>
      </c>
    </row>
    <row r="17" spans="1:4" ht="16.5" thickBot="1" x14ac:dyDescent="0.3">
      <c r="A17" s="118">
        <v>15000</v>
      </c>
      <c r="B17" s="129" t="s">
        <v>15</v>
      </c>
      <c r="C17" s="130">
        <v>2060</v>
      </c>
      <c r="D17" s="131">
        <f t="shared" si="0"/>
        <v>1030</v>
      </c>
    </row>
    <row r="18" spans="1:4" ht="16.5" thickBot="1" x14ac:dyDescent="0.3">
      <c r="A18" s="118">
        <v>16000</v>
      </c>
      <c r="B18" s="129" t="s">
        <v>16</v>
      </c>
      <c r="C18" s="130">
        <v>2260</v>
      </c>
      <c r="D18" s="131">
        <f t="shared" si="0"/>
        <v>1130</v>
      </c>
    </row>
    <row r="19" spans="1:4" ht="16.5" thickBot="1" x14ac:dyDescent="0.3">
      <c r="A19" s="118">
        <v>17000</v>
      </c>
      <c r="B19" s="129" t="s">
        <v>17</v>
      </c>
      <c r="C19" s="130">
        <v>2460</v>
      </c>
      <c r="D19" s="131">
        <f t="shared" si="0"/>
        <v>1230</v>
      </c>
    </row>
    <row r="20" spans="1:4" ht="16.5" thickBot="1" x14ac:dyDescent="0.3">
      <c r="A20" s="118">
        <v>18000</v>
      </c>
      <c r="B20" s="129" t="s">
        <v>18</v>
      </c>
      <c r="C20" s="130">
        <v>2660</v>
      </c>
      <c r="D20" s="131">
        <f t="shared" si="0"/>
        <v>1330</v>
      </c>
    </row>
    <row r="21" spans="1:4" ht="16.5" thickBot="1" x14ac:dyDescent="0.3">
      <c r="A21" s="118">
        <v>19000</v>
      </c>
      <c r="B21" s="129" t="s">
        <v>19</v>
      </c>
      <c r="C21" s="130">
        <v>2860</v>
      </c>
      <c r="D21" s="131">
        <f t="shared" si="0"/>
        <v>1430</v>
      </c>
    </row>
    <row r="22" spans="1:4" ht="16.5" thickBot="1" x14ac:dyDescent="0.3">
      <c r="A22" s="118">
        <v>20000</v>
      </c>
      <c r="B22" s="129" t="s">
        <v>20</v>
      </c>
      <c r="C22" s="130">
        <v>3060</v>
      </c>
      <c r="D22" s="131">
        <f t="shared" si="0"/>
        <v>1530</v>
      </c>
    </row>
    <row r="23" spans="1:4" ht="16.5" thickBot="1" x14ac:dyDescent="0.3">
      <c r="A23" s="118">
        <v>21000</v>
      </c>
      <c r="B23" s="129" t="s">
        <v>21</v>
      </c>
      <c r="C23" s="130">
        <v>3260</v>
      </c>
      <c r="D23" s="131">
        <f t="shared" si="0"/>
        <v>1630</v>
      </c>
    </row>
    <row r="24" spans="1:4" ht="16.5" thickBot="1" x14ac:dyDescent="0.3">
      <c r="A24" s="118">
        <v>22000</v>
      </c>
      <c r="B24" s="129" t="s">
        <v>22</v>
      </c>
      <c r="C24" s="130">
        <v>3460</v>
      </c>
      <c r="D24" s="131">
        <f t="shared" si="0"/>
        <v>1730</v>
      </c>
    </row>
  </sheetData>
  <sheetProtection sheet="1" objects="1" scenarios="1"/>
  <mergeCells count="2">
    <mergeCell ref="B1:B2"/>
    <mergeCell ref="C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"/>
  <sheetViews>
    <sheetView workbookViewId="0">
      <selection activeCell="B2" sqref="B2"/>
    </sheetView>
  </sheetViews>
  <sheetFormatPr baseColWidth="10" defaultRowHeight="15" x14ac:dyDescent="0.25"/>
  <cols>
    <col min="1" max="1" width="26.28515625" bestFit="1" customWidth="1"/>
    <col min="2" max="2" width="22.140625" customWidth="1"/>
    <col min="3" max="3" width="22.85546875" customWidth="1"/>
  </cols>
  <sheetData>
    <row r="1" spans="1:4" ht="16.5" thickBot="1" x14ac:dyDescent="0.3">
      <c r="A1" s="106"/>
      <c r="B1" s="104" t="s">
        <v>31</v>
      </c>
      <c r="C1" s="105"/>
    </row>
    <row r="2" spans="1:4" ht="16.5" thickBot="1" x14ac:dyDescent="0.3">
      <c r="A2" s="107"/>
      <c r="B2" s="1" t="s">
        <v>0</v>
      </c>
      <c r="C2" s="2" t="s">
        <v>87</v>
      </c>
    </row>
    <row r="3" spans="1:4" ht="16.5" thickBot="1" x14ac:dyDescent="0.3">
      <c r="A3" s="4" t="s">
        <v>23</v>
      </c>
      <c r="B3" s="19">
        <v>33</v>
      </c>
      <c r="C3" s="20">
        <f>B3/2</f>
        <v>16.5</v>
      </c>
    </row>
    <row r="4" spans="1:4" ht="16.5" thickBot="1" x14ac:dyDescent="0.3">
      <c r="A4" s="4" t="s">
        <v>24</v>
      </c>
      <c r="B4" s="19">
        <v>48</v>
      </c>
      <c r="C4" s="20">
        <f t="shared" ref="C4:C6" si="0">B4/2</f>
        <v>24</v>
      </c>
    </row>
    <row r="5" spans="1:4" ht="16.5" thickBot="1" x14ac:dyDescent="0.3">
      <c r="A5" s="4" t="s">
        <v>25</v>
      </c>
      <c r="B5" s="19">
        <v>48</v>
      </c>
      <c r="C5" s="20">
        <f t="shared" si="0"/>
        <v>24</v>
      </c>
    </row>
    <row r="6" spans="1:4" ht="16.5" thickBot="1" x14ac:dyDescent="0.3">
      <c r="A6" s="4" t="s">
        <v>26</v>
      </c>
      <c r="B6" s="19">
        <v>48</v>
      </c>
      <c r="C6" s="20">
        <f t="shared" si="0"/>
        <v>24</v>
      </c>
      <c r="D6" s="132" t="s">
        <v>155</v>
      </c>
    </row>
  </sheetData>
  <sheetProtection sheet="1" objects="1" scenarios="1"/>
  <mergeCells count="2">
    <mergeCell ref="A1:A2"/>
    <mergeCell ref="B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"/>
  <sheetViews>
    <sheetView workbookViewId="0">
      <selection activeCell="B2" sqref="B2"/>
    </sheetView>
  </sheetViews>
  <sheetFormatPr baseColWidth="10" defaultRowHeight="15" x14ac:dyDescent="0.25"/>
  <cols>
    <col min="1" max="1" width="29" customWidth="1"/>
    <col min="2" max="2" width="15.85546875" customWidth="1"/>
    <col min="3" max="3" width="17.42578125" customWidth="1"/>
  </cols>
  <sheetData>
    <row r="1" spans="1:3" ht="16.5" thickBot="1" x14ac:dyDescent="0.3">
      <c r="A1" s="106"/>
      <c r="B1" s="104" t="s">
        <v>160</v>
      </c>
      <c r="C1" s="104"/>
    </row>
    <row r="2" spans="1:3" ht="16.5" thickBot="1" x14ac:dyDescent="0.3">
      <c r="A2" s="107"/>
      <c r="B2" s="1" t="s">
        <v>0</v>
      </c>
      <c r="C2" s="2" t="s">
        <v>87</v>
      </c>
    </row>
    <row r="3" spans="1:3" ht="36" customHeight="1" thickBot="1" x14ac:dyDescent="0.3">
      <c r="A3" s="4" t="s">
        <v>157</v>
      </c>
      <c r="B3" s="5">
        <v>170</v>
      </c>
      <c r="C3" s="6">
        <f>B3/2</f>
        <v>85</v>
      </c>
    </row>
    <row r="4" spans="1:3" ht="32.25" thickBot="1" x14ac:dyDescent="0.3">
      <c r="A4" s="4" t="s">
        <v>158</v>
      </c>
      <c r="B4" s="5">
        <v>250</v>
      </c>
      <c r="C4" s="6">
        <f>B4/2</f>
        <v>125</v>
      </c>
    </row>
  </sheetData>
  <sheetProtection sheet="1" objects="1" scenarios="1"/>
  <mergeCells count="2">
    <mergeCell ref="A1:A2"/>
    <mergeCell ref="B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0FCE5-31B8-4BC4-AE05-F3B35AF6C4F3}">
  <dimension ref="A1:N32"/>
  <sheetViews>
    <sheetView workbookViewId="0">
      <selection activeCell="M21" sqref="M21"/>
    </sheetView>
  </sheetViews>
  <sheetFormatPr baseColWidth="10" defaultRowHeight="15" x14ac:dyDescent="0.25"/>
  <cols>
    <col min="2" max="2" width="22.85546875" customWidth="1"/>
    <col min="3" max="3" width="15" customWidth="1"/>
    <col min="4" max="4" width="13.140625" customWidth="1"/>
    <col min="5" max="6" width="15" customWidth="1"/>
    <col min="7" max="7" width="16" customWidth="1"/>
    <col min="8" max="8" width="14.5703125" customWidth="1"/>
    <col min="9" max="9" width="16" customWidth="1"/>
    <col min="10" max="10" width="16" style="162" customWidth="1"/>
    <col min="11" max="11" width="14.85546875" customWidth="1"/>
    <col min="12" max="12" width="13.42578125" customWidth="1"/>
    <col min="13" max="13" width="14.85546875" customWidth="1"/>
    <col min="14" max="14" width="14.7109375" customWidth="1"/>
  </cols>
  <sheetData>
    <row r="1" spans="1:14" ht="32.25" thickBot="1" x14ac:dyDescent="0.3">
      <c r="B1" s="138"/>
      <c r="C1" s="138" t="s">
        <v>168</v>
      </c>
      <c r="D1" s="138" t="s">
        <v>172</v>
      </c>
    </row>
    <row r="2" spans="1:14" ht="16.5" thickBot="1" x14ac:dyDescent="0.3">
      <c r="B2" s="138"/>
      <c r="C2" s="141">
        <v>1</v>
      </c>
      <c r="D2" s="134">
        <v>0.3</v>
      </c>
    </row>
    <row r="3" spans="1:14" ht="16.5" thickBot="1" x14ac:dyDescent="0.3">
      <c r="B3" s="138" t="s">
        <v>169</v>
      </c>
      <c r="C3" s="141">
        <v>71</v>
      </c>
      <c r="D3" s="134">
        <f>C3*$D$2</f>
        <v>21.3</v>
      </c>
    </row>
    <row r="4" spans="1:14" ht="16.5" thickBot="1" x14ac:dyDescent="0.3">
      <c r="B4" s="138" t="s">
        <v>170</v>
      </c>
      <c r="C4" s="141">
        <v>66</v>
      </c>
      <c r="D4" s="134">
        <f t="shared" ref="D4:D5" si="0">C4*$D$2</f>
        <v>19.8</v>
      </c>
    </row>
    <row r="5" spans="1:14" ht="16.5" thickBot="1" x14ac:dyDescent="0.3">
      <c r="B5" s="137" t="s">
        <v>171</v>
      </c>
      <c r="C5" s="141">
        <f>C3+C4</f>
        <v>137</v>
      </c>
      <c r="D5" s="134">
        <f t="shared" si="0"/>
        <v>41.1</v>
      </c>
    </row>
    <row r="7" spans="1:14" ht="15.75" thickBot="1" x14ac:dyDescent="0.3"/>
    <row r="8" spans="1:14" ht="16.5" thickBot="1" x14ac:dyDescent="0.3">
      <c r="B8" s="168"/>
      <c r="C8" s="172" t="s">
        <v>163</v>
      </c>
      <c r="D8" s="143"/>
      <c r="E8" s="143"/>
      <c r="F8" s="173"/>
      <c r="G8" s="145" t="s">
        <v>164</v>
      </c>
      <c r="H8" s="144"/>
      <c r="I8" s="144"/>
      <c r="J8" s="144"/>
      <c r="K8" s="158" t="s">
        <v>26</v>
      </c>
      <c r="L8" s="156"/>
      <c r="M8" s="156"/>
      <c r="N8" s="156"/>
    </row>
    <row r="9" spans="1:14" ht="16.5" customHeight="1" thickBot="1" x14ac:dyDescent="0.3">
      <c r="B9" s="168"/>
      <c r="C9" s="174"/>
      <c r="D9" s="142" t="s">
        <v>173</v>
      </c>
      <c r="E9" s="135"/>
      <c r="F9" s="175"/>
      <c r="G9" s="150"/>
      <c r="H9" s="149" t="s">
        <v>173</v>
      </c>
      <c r="I9" s="136"/>
      <c r="J9" s="136"/>
      <c r="K9" s="170"/>
      <c r="L9" s="160" t="s">
        <v>173</v>
      </c>
      <c r="M9" s="161"/>
      <c r="N9" s="161"/>
    </row>
    <row r="10" spans="1:14" s="40" customFormat="1" ht="32.25" thickBot="1" x14ac:dyDescent="0.3">
      <c r="A10" s="167" t="s">
        <v>27</v>
      </c>
      <c r="B10" s="133" t="s">
        <v>162</v>
      </c>
      <c r="C10" s="169" t="s">
        <v>167</v>
      </c>
      <c r="D10" s="139" t="s">
        <v>175</v>
      </c>
      <c r="E10" s="139" t="s">
        <v>176</v>
      </c>
      <c r="F10" s="139" t="s">
        <v>174</v>
      </c>
      <c r="G10" s="151" t="s">
        <v>167</v>
      </c>
      <c r="H10" s="140" t="s">
        <v>175</v>
      </c>
      <c r="I10" s="140" t="s">
        <v>176</v>
      </c>
      <c r="J10" s="163" t="s">
        <v>174</v>
      </c>
      <c r="K10" s="171" t="s">
        <v>167</v>
      </c>
      <c r="L10" s="157" t="s">
        <v>175</v>
      </c>
      <c r="M10" s="157" t="s">
        <v>176</v>
      </c>
      <c r="N10" s="157" t="s">
        <v>174</v>
      </c>
    </row>
    <row r="11" spans="1:14" ht="16.5" thickBot="1" x14ac:dyDescent="0.3">
      <c r="A11">
        <v>0</v>
      </c>
      <c r="B11" s="133" t="s">
        <v>165</v>
      </c>
      <c r="C11" s="146">
        <v>1.2</v>
      </c>
      <c r="D11" s="148">
        <f>$C$3*C11</f>
        <v>85.2</v>
      </c>
      <c r="E11" s="165">
        <f>$C$4*C11</f>
        <v>79.2</v>
      </c>
      <c r="F11" s="147">
        <f>D11+E11</f>
        <v>164.4</v>
      </c>
      <c r="G11" s="152">
        <v>1.4</v>
      </c>
      <c r="H11" s="153">
        <f>$C$3*G11</f>
        <v>99.399999999999991</v>
      </c>
      <c r="I11" s="166">
        <f>$C$4*G11</f>
        <v>92.399999999999991</v>
      </c>
      <c r="J11" s="164">
        <f>H11+I11</f>
        <v>191.79999999999998</v>
      </c>
      <c r="K11" s="159">
        <v>4</v>
      </c>
      <c r="L11" s="155">
        <f>$C$3*K11</f>
        <v>284</v>
      </c>
      <c r="M11" s="155">
        <f>$C$4*K11</f>
        <v>264</v>
      </c>
      <c r="N11" s="154">
        <f>L11+M11</f>
        <v>548</v>
      </c>
    </row>
    <row r="12" spans="1:14" ht="16.5" thickBot="1" x14ac:dyDescent="0.3">
      <c r="A12">
        <v>2000</v>
      </c>
      <c r="B12" s="133" t="s">
        <v>166</v>
      </c>
      <c r="C12" s="146">
        <v>1.3</v>
      </c>
      <c r="D12" s="148">
        <f t="shared" ref="D12:D32" si="1">$C$3*C12</f>
        <v>92.3</v>
      </c>
      <c r="E12" s="165">
        <f t="shared" ref="E12:E32" si="2">$C$4*C12</f>
        <v>85.8</v>
      </c>
      <c r="F12" s="147">
        <f t="shared" ref="F12:F32" si="3">D12+E12</f>
        <v>178.1</v>
      </c>
      <c r="G12" s="152">
        <v>1.5</v>
      </c>
      <c r="H12" s="153">
        <f t="shared" ref="H12:H32" si="4">$C$3*G12</f>
        <v>106.5</v>
      </c>
      <c r="I12" s="166">
        <f t="shared" ref="I12:I32" si="5">$C$4*G12</f>
        <v>99</v>
      </c>
      <c r="J12" s="164">
        <f t="shared" ref="J12:J32" si="6">H12+I12</f>
        <v>205.5</v>
      </c>
      <c r="K12" s="159">
        <v>4</v>
      </c>
      <c r="L12" s="155">
        <f t="shared" ref="L12:L32" si="7">$C$3*K12</f>
        <v>284</v>
      </c>
      <c r="M12" s="155">
        <f t="shared" ref="M12:M32" si="8">$C$4*K12</f>
        <v>264</v>
      </c>
      <c r="N12" s="154">
        <f t="shared" ref="N12:N32" si="9">L12+M12</f>
        <v>548</v>
      </c>
    </row>
    <row r="13" spans="1:14" ht="16.5" thickBot="1" x14ac:dyDescent="0.3">
      <c r="A13">
        <v>3000</v>
      </c>
      <c r="B13" s="133" t="s">
        <v>89</v>
      </c>
      <c r="C13" s="146">
        <v>1.4</v>
      </c>
      <c r="D13" s="148">
        <f t="shared" si="1"/>
        <v>99.399999999999991</v>
      </c>
      <c r="E13" s="165">
        <f t="shared" si="2"/>
        <v>92.399999999999991</v>
      </c>
      <c r="F13" s="147">
        <f t="shared" si="3"/>
        <v>191.79999999999998</v>
      </c>
      <c r="G13" s="152">
        <v>1.6</v>
      </c>
      <c r="H13" s="153">
        <f t="shared" si="4"/>
        <v>113.60000000000001</v>
      </c>
      <c r="I13" s="166">
        <f t="shared" si="5"/>
        <v>105.60000000000001</v>
      </c>
      <c r="J13" s="164">
        <f t="shared" si="6"/>
        <v>219.20000000000002</v>
      </c>
      <c r="K13" s="159">
        <v>4</v>
      </c>
      <c r="L13" s="155">
        <f t="shared" si="7"/>
        <v>284</v>
      </c>
      <c r="M13" s="155">
        <f t="shared" si="8"/>
        <v>264</v>
      </c>
      <c r="N13" s="154">
        <f t="shared" si="9"/>
        <v>548</v>
      </c>
    </row>
    <row r="14" spans="1:14" ht="16.5" thickBot="1" x14ac:dyDescent="0.3">
      <c r="A14">
        <v>4000</v>
      </c>
      <c r="B14" s="133" t="s">
        <v>90</v>
      </c>
      <c r="C14" s="146">
        <v>1.65</v>
      </c>
      <c r="D14" s="148">
        <f t="shared" si="1"/>
        <v>117.14999999999999</v>
      </c>
      <c r="E14" s="165">
        <f t="shared" si="2"/>
        <v>108.89999999999999</v>
      </c>
      <c r="F14" s="147">
        <f t="shared" si="3"/>
        <v>226.04999999999998</v>
      </c>
      <c r="G14" s="152">
        <v>1.8</v>
      </c>
      <c r="H14" s="153">
        <f t="shared" si="4"/>
        <v>127.8</v>
      </c>
      <c r="I14" s="166">
        <f t="shared" si="5"/>
        <v>118.8</v>
      </c>
      <c r="J14" s="164">
        <f t="shared" si="6"/>
        <v>246.6</v>
      </c>
      <c r="K14" s="159">
        <v>4</v>
      </c>
      <c r="L14" s="155">
        <f t="shared" si="7"/>
        <v>284</v>
      </c>
      <c r="M14" s="155">
        <f t="shared" si="8"/>
        <v>264</v>
      </c>
      <c r="N14" s="154">
        <f t="shared" si="9"/>
        <v>548</v>
      </c>
    </row>
    <row r="15" spans="1:14" ht="16.5" thickBot="1" x14ac:dyDescent="0.3">
      <c r="A15">
        <v>5000</v>
      </c>
      <c r="B15" s="133" t="s">
        <v>91</v>
      </c>
      <c r="C15" s="146">
        <v>2.1</v>
      </c>
      <c r="D15" s="148">
        <f t="shared" si="1"/>
        <v>149.1</v>
      </c>
      <c r="E15" s="165">
        <f t="shared" si="2"/>
        <v>138.6</v>
      </c>
      <c r="F15" s="147">
        <f t="shared" si="3"/>
        <v>287.7</v>
      </c>
      <c r="G15" s="152">
        <v>2.2999999999999998</v>
      </c>
      <c r="H15" s="153">
        <f t="shared" si="4"/>
        <v>163.29999999999998</v>
      </c>
      <c r="I15" s="166">
        <f t="shared" si="5"/>
        <v>151.79999999999998</v>
      </c>
      <c r="J15" s="164">
        <f t="shared" si="6"/>
        <v>315.09999999999997</v>
      </c>
      <c r="K15" s="159">
        <v>4</v>
      </c>
      <c r="L15" s="155">
        <f t="shared" si="7"/>
        <v>284</v>
      </c>
      <c r="M15" s="155">
        <f t="shared" si="8"/>
        <v>264</v>
      </c>
      <c r="N15" s="154">
        <f t="shared" si="9"/>
        <v>548</v>
      </c>
    </row>
    <row r="16" spans="1:14" ht="16.5" thickBot="1" x14ac:dyDescent="0.3">
      <c r="A16">
        <v>6000</v>
      </c>
      <c r="B16" s="133" t="s">
        <v>92</v>
      </c>
      <c r="C16" s="146">
        <v>2.5</v>
      </c>
      <c r="D16" s="148">
        <f t="shared" si="1"/>
        <v>177.5</v>
      </c>
      <c r="E16" s="165">
        <f t="shared" si="2"/>
        <v>165</v>
      </c>
      <c r="F16" s="147">
        <f t="shared" si="3"/>
        <v>342.5</v>
      </c>
      <c r="G16" s="152">
        <v>2.7</v>
      </c>
      <c r="H16" s="153">
        <f t="shared" si="4"/>
        <v>191.70000000000002</v>
      </c>
      <c r="I16" s="166">
        <f t="shared" si="5"/>
        <v>178.20000000000002</v>
      </c>
      <c r="J16" s="164">
        <f t="shared" si="6"/>
        <v>369.90000000000003</v>
      </c>
      <c r="K16" s="159">
        <v>4</v>
      </c>
      <c r="L16" s="155">
        <f t="shared" si="7"/>
        <v>284</v>
      </c>
      <c r="M16" s="155">
        <f t="shared" si="8"/>
        <v>264</v>
      </c>
      <c r="N16" s="154">
        <f t="shared" si="9"/>
        <v>548</v>
      </c>
    </row>
    <row r="17" spans="1:14" ht="16.5" thickBot="1" x14ac:dyDescent="0.3">
      <c r="A17">
        <v>7000</v>
      </c>
      <c r="B17" s="133" t="s">
        <v>93</v>
      </c>
      <c r="C17" s="146">
        <v>2.8</v>
      </c>
      <c r="D17" s="148">
        <f t="shared" si="1"/>
        <v>198.79999999999998</v>
      </c>
      <c r="E17" s="165">
        <f t="shared" si="2"/>
        <v>184.79999999999998</v>
      </c>
      <c r="F17" s="147">
        <f t="shared" si="3"/>
        <v>383.59999999999997</v>
      </c>
      <c r="G17" s="152">
        <v>3</v>
      </c>
      <c r="H17" s="153">
        <f t="shared" si="4"/>
        <v>213</v>
      </c>
      <c r="I17" s="166">
        <f t="shared" si="5"/>
        <v>198</v>
      </c>
      <c r="J17" s="164">
        <f t="shared" si="6"/>
        <v>411</v>
      </c>
      <c r="K17" s="159">
        <v>4.2</v>
      </c>
      <c r="L17" s="155">
        <f t="shared" si="7"/>
        <v>298.2</v>
      </c>
      <c r="M17" s="155">
        <f t="shared" si="8"/>
        <v>277.2</v>
      </c>
      <c r="N17" s="154">
        <f t="shared" si="9"/>
        <v>575.4</v>
      </c>
    </row>
    <row r="18" spans="1:14" ht="16.5" thickBot="1" x14ac:dyDescent="0.3">
      <c r="A18">
        <v>8000</v>
      </c>
      <c r="B18" s="133" t="s">
        <v>94</v>
      </c>
      <c r="C18" s="146">
        <v>2.9</v>
      </c>
      <c r="D18" s="148">
        <f t="shared" si="1"/>
        <v>205.9</v>
      </c>
      <c r="E18" s="165">
        <f t="shared" si="2"/>
        <v>191.4</v>
      </c>
      <c r="F18" s="147">
        <f t="shared" si="3"/>
        <v>397.3</v>
      </c>
      <c r="G18" s="152">
        <v>3.2</v>
      </c>
      <c r="H18" s="153">
        <f t="shared" si="4"/>
        <v>227.20000000000002</v>
      </c>
      <c r="I18" s="166">
        <f t="shared" si="5"/>
        <v>211.20000000000002</v>
      </c>
      <c r="J18" s="164">
        <f t="shared" si="6"/>
        <v>438.40000000000003</v>
      </c>
      <c r="K18" s="159">
        <v>4.2</v>
      </c>
      <c r="L18" s="155">
        <f t="shared" si="7"/>
        <v>298.2</v>
      </c>
      <c r="M18" s="155">
        <f t="shared" si="8"/>
        <v>277.2</v>
      </c>
      <c r="N18" s="154">
        <f t="shared" si="9"/>
        <v>575.4</v>
      </c>
    </row>
    <row r="19" spans="1:14" ht="16.5" thickBot="1" x14ac:dyDescent="0.3">
      <c r="A19">
        <v>9000</v>
      </c>
      <c r="B19" s="133" t="s">
        <v>95</v>
      </c>
      <c r="C19" s="146">
        <v>3.55</v>
      </c>
      <c r="D19" s="148">
        <f t="shared" si="1"/>
        <v>252.04999999999998</v>
      </c>
      <c r="E19" s="165">
        <f t="shared" si="2"/>
        <v>234.29999999999998</v>
      </c>
      <c r="F19" s="147">
        <f t="shared" si="3"/>
        <v>486.34999999999997</v>
      </c>
      <c r="G19" s="152">
        <v>3.6</v>
      </c>
      <c r="H19" s="153">
        <f t="shared" si="4"/>
        <v>255.6</v>
      </c>
      <c r="I19" s="166">
        <f t="shared" si="5"/>
        <v>237.6</v>
      </c>
      <c r="J19" s="164">
        <f t="shared" si="6"/>
        <v>493.2</v>
      </c>
      <c r="K19" s="159">
        <v>4.2</v>
      </c>
      <c r="L19" s="155">
        <f t="shared" si="7"/>
        <v>298.2</v>
      </c>
      <c r="M19" s="155">
        <f t="shared" si="8"/>
        <v>277.2</v>
      </c>
      <c r="N19" s="154">
        <f t="shared" si="9"/>
        <v>575.4</v>
      </c>
    </row>
    <row r="20" spans="1:14" ht="16.5" thickBot="1" x14ac:dyDescent="0.3">
      <c r="A20">
        <v>10000</v>
      </c>
      <c r="B20" s="133" t="s">
        <v>96</v>
      </c>
      <c r="C20" s="146">
        <v>3.6</v>
      </c>
      <c r="D20" s="148">
        <f t="shared" si="1"/>
        <v>255.6</v>
      </c>
      <c r="E20" s="165">
        <f t="shared" si="2"/>
        <v>237.6</v>
      </c>
      <c r="F20" s="147">
        <f t="shared" si="3"/>
        <v>493.2</v>
      </c>
      <c r="G20" s="152">
        <v>3.8</v>
      </c>
      <c r="H20" s="153">
        <f t="shared" si="4"/>
        <v>269.8</v>
      </c>
      <c r="I20" s="166">
        <f t="shared" si="5"/>
        <v>250.79999999999998</v>
      </c>
      <c r="J20" s="164">
        <f t="shared" si="6"/>
        <v>520.6</v>
      </c>
      <c r="K20" s="159">
        <v>4.2</v>
      </c>
      <c r="L20" s="155">
        <f t="shared" si="7"/>
        <v>298.2</v>
      </c>
      <c r="M20" s="155">
        <f t="shared" si="8"/>
        <v>277.2</v>
      </c>
      <c r="N20" s="154">
        <f t="shared" si="9"/>
        <v>575.4</v>
      </c>
    </row>
    <row r="21" spans="1:14" ht="16.5" thickBot="1" x14ac:dyDescent="0.3">
      <c r="A21">
        <v>11000</v>
      </c>
      <c r="B21" s="133" t="s">
        <v>97</v>
      </c>
      <c r="C21" s="146">
        <v>3.9</v>
      </c>
      <c r="D21" s="148">
        <f t="shared" si="1"/>
        <v>276.89999999999998</v>
      </c>
      <c r="E21" s="165">
        <f t="shared" si="2"/>
        <v>257.39999999999998</v>
      </c>
      <c r="F21" s="147">
        <f t="shared" si="3"/>
        <v>534.29999999999995</v>
      </c>
      <c r="G21" s="152">
        <v>4.0999999999999996</v>
      </c>
      <c r="H21" s="153">
        <f t="shared" si="4"/>
        <v>291.09999999999997</v>
      </c>
      <c r="I21" s="166">
        <f t="shared" si="5"/>
        <v>270.59999999999997</v>
      </c>
      <c r="J21" s="164">
        <f t="shared" si="6"/>
        <v>561.69999999999993</v>
      </c>
      <c r="K21" s="159">
        <v>4.5</v>
      </c>
      <c r="L21" s="155">
        <f t="shared" si="7"/>
        <v>319.5</v>
      </c>
      <c r="M21" s="155">
        <f t="shared" si="8"/>
        <v>297</v>
      </c>
      <c r="N21" s="154">
        <f t="shared" si="9"/>
        <v>616.5</v>
      </c>
    </row>
    <row r="22" spans="1:14" ht="16.5" thickBot="1" x14ac:dyDescent="0.3">
      <c r="A22">
        <v>12000</v>
      </c>
      <c r="B22" s="133" t="s">
        <v>98</v>
      </c>
      <c r="C22" s="146">
        <v>3.9</v>
      </c>
      <c r="D22" s="148">
        <f t="shared" si="1"/>
        <v>276.89999999999998</v>
      </c>
      <c r="E22" s="165">
        <f t="shared" si="2"/>
        <v>257.39999999999998</v>
      </c>
      <c r="F22" s="147">
        <f t="shared" si="3"/>
        <v>534.29999999999995</v>
      </c>
      <c r="G22" s="152">
        <v>4.0999999999999996</v>
      </c>
      <c r="H22" s="153">
        <f t="shared" si="4"/>
        <v>291.09999999999997</v>
      </c>
      <c r="I22" s="166">
        <f t="shared" si="5"/>
        <v>270.59999999999997</v>
      </c>
      <c r="J22" s="164">
        <f t="shared" si="6"/>
        <v>561.69999999999993</v>
      </c>
      <c r="K22" s="159">
        <v>4.5</v>
      </c>
      <c r="L22" s="155">
        <f t="shared" si="7"/>
        <v>319.5</v>
      </c>
      <c r="M22" s="155">
        <f t="shared" si="8"/>
        <v>297</v>
      </c>
      <c r="N22" s="154">
        <f t="shared" si="9"/>
        <v>616.5</v>
      </c>
    </row>
    <row r="23" spans="1:14" ht="16.5" thickBot="1" x14ac:dyDescent="0.3">
      <c r="A23">
        <v>13000</v>
      </c>
      <c r="B23" s="133" t="s">
        <v>99</v>
      </c>
      <c r="C23" s="146">
        <v>4.0999999999999996</v>
      </c>
      <c r="D23" s="148">
        <f t="shared" si="1"/>
        <v>291.09999999999997</v>
      </c>
      <c r="E23" s="165">
        <f t="shared" si="2"/>
        <v>270.59999999999997</v>
      </c>
      <c r="F23" s="147">
        <f t="shared" si="3"/>
        <v>561.69999999999993</v>
      </c>
      <c r="G23" s="152">
        <v>4.3</v>
      </c>
      <c r="H23" s="153">
        <f t="shared" si="4"/>
        <v>305.3</v>
      </c>
      <c r="I23" s="166">
        <f t="shared" si="5"/>
        <v>283.8</v>
      </c>
      <c r="J23" s="164">
        <f t="shared" si="6"/>
        <v>589.1</v>
      </c>
      <c r="K23" s="159">
        <v>4.5999999999999996</v>
      </c>
      <c r="L23" s="155">
        <f t="shared" si="7"/>
        <v>326.59999999999997</v>
      </c>
      <c r="M23" s="155">
        <f t="shared" si="8"/>
        <v>303.59999999999997</v>
      </c>
      <c r="N23" s="154">
        <f t="shared" si="9"/>
        <v>630.19999999999993</v>
      </c>
    </row>
    <row r="24" spans="1:14" ht="16.5" thickBot="1" x14ac:dyDescent="0.3">
      <c r="A24">
        <v>14000</v>
      </c>
      <c r="B24" s="133" t="s">
        <v>100</v>
      </c>
      <c r="C24" s="146">
        <v>4.0999999999999996</v>
      </c>
      <c r="D24" s="148">
        <f t="shared" si="1"/>
        <v>291.09999999999997</v>
      </c>
      <c r="E24" s="165">
        <f t="shared" si="2"/>
        <v>270.59999999999997</v>
      </c>
      <c r="F24" s="147">
        <f t="shared" si="3"/>
        <v>561.69999999999993</v>
      </c>
      <c r="G24" s="152">
        <v>4.3</v>
      </c>
      <c r="H24" s="153">
        <f t="shared" si="4"/>
        <v>305.3</v>
      </c>
      <c r="I24" s="166">
        <f t="shared" si="5"/>
        <v>283.8</v>
      </c>
      <c r="J24" s="164">
        <f t="shared" si="6"/>
        <v>589.1</v>
      </c>
      <c r="K24" s="159">
        <v>4.5999999999999996</v>
      </c>
      <c r="L24" s="155">
        <f t="shared" si="7"/>
        <v>326.59999999999997</v>
      </c>
      <c r="M24" s="155">
        <f t="shared" si="8"/>
        <v>303.59999999999997</v>
      </c>
      <c r="N24" s="154">
        <f t="shared" si="9"/>
        <v>630.19999999999993</v>
      </c>
    </row>
    <row r="25" spans="1:14" ht="16.5" thickBot="1" x14ac:dyDescent="0.3">
      <c r="A25">
        <v>15000</v>
      </c>
      <c r="B25" s="133" t="s">
        <v>101</v>
      </c>
      <c r="C25" s="146">
        <v>4.5999999999999996</v>
      </c>
      <c r="D25" s="148">
        <f t="shared" si="1"/>
        <v>326.59999999999997</v>
      </c>
      <c r="E25" s="165">
        <f t="shared" si="2"/>
        <v>303.59999999999997</v>
      </c>
      <c r="F25" s="147">
        <f t="shared" si="3"/>
        <v>630.19999999999993</v>
      </c>
      <c r="G25" s="152">
        <v>4.7</v>
      </c>
      <c r="H25" s="153">
        <f t="shared" si="4"/>
        <v>333.7</v>
      </c>
      <c r="I25" s="166">
        <f t="shared" si="5"/>
        <v>310.2</v>
      </c>
      <c r="J25" s="164">
        <f t="shared" si="6"/>
        <v>643.9</v>
      </c>
      <c r="K25" s="159">
        <v>4.8</v>
      </c>
      <c r="L25" s="155">
        <f t="shared" si="7"/>
        <v>340.8</v>
      </c>
      <c r="M25" s="155">
        <f t="shared" si="8"/>
        <v>316.8</v>
      </c>
      <c r="N25" s="154">
        <f t="shared" si="9"/>
        <v>657.6</v>
      </c>
    </row>
    <row r="26" spans="1:14" ht="16.5" thickBot="1" x14ac:dyDescent="0.3">
      <c r="A26">
        <v>16000</v>
      </c>
      <c r="B26" s="133" t="s">
        <v>102</v>
      </c>
      <c r="C26" s="146">
        <v>4.5999999999999996</v>
      </c>
      <c r="D26" s="148">
        <f t="shared" si="1"/>
        <v>326.59999999999997</v>
      </c>
      <c r="E26" s="165">
        <f t="shared" si="2"/>
        <v>303.59999999999997</v>
      </c>
      <c r="F26" s="147">
        <f t="shared" si="3"/>
        <v>630.19999999999993</v>
      </c>
      <c r="G26" s="152">
        <v>4.8</v>
      </c>
      <c r="H26" s="153">
        <f t="shared" si="4"/>
        <v>340.8</v>
      </c>
      <c r="I26" s="166">
        <f t="shared" si="5"/>
        <v>316.8</v>
      </c>
      <c r="J26" s="164">
        <f t="shared" si="6"/>
        <v>657.6</v>
      </c>
      <c r="K26" s="159">
        <v>4.8</v>
      </c>
      <c r="L26" s="155">
        <f t="shared" si="7"/>
        <v>340.8</v>
      </c>
      <c r="M26" s="155">
        <f t="shared" si="8"/>
        <v>316.8</v>
      </c>
      <c r="N26" s="154">
        <f t="shared" si="9"/>
        <v>657.6</v>
      </c>
    </row>
    <row r="27" spans="1:14" ht="16.5" thickBot="1" x14ac:dyDescent="0.3">
      <c r="A27">
        <v>17000</v>
      </c>
      <c r="B27" s="133" t="s">
        <v>103</v>
      </c>
      <c r="C27" s="146">
        <v>4.5999999999999996</v>
      </c>
      <c r="D27" s="148">
        <f t="shared" si="1"/>
        <v>326.59999999999997</v>
      </c>
      <c r="E27" s="165">
        <f t="shared" si="2"/>
        <v>303.59999999999997</v>
      </c>
      <c r="F27" s="147">
        <f t="shared" si="3"/>
        <v>630.19999999999993</v>
      </c>
      <c r="G27" s="152">
        <v>4.8</v>
      </c>
      <c r="H27" s="153">
        <f t="shared" si="4"/>
        <v>340.8</v>
      </c>
      <c r="I27" s="166">
        <f t="shared" si="5"/>
        <v>316.8</v>
      </c>
      <c r="J27" s="164">
        <f t="shared" si="6"/>
        <v>657.6</v>
      </c>
      <c r="K27" s="159">
        <v>5.0999999999999996</v>
      </c>
      <c r="L27" s="155">
        <f t="shared" si="7"/>
        <v>362.09999999999997</v>
      </c>
      <c r="M27" s="155">
        <f t="shared" si="8"/>
        <v>336.59999999999997</v>
      </c>
      <c r="N27" s="154">
        <f t="shared" si="9"/>
        <v>698.69999999999993</v>
      </c>
    </row>
    <row r="28" spans="1:14" ht="16.5" thickBot="1" x14ac:dyDescent="0.3">
      <c r="A28">
        <v>18000</v>
      </c>
      <c r="B28" s="133" t="s">
        <v>104</v>
      </c>
      <c r="C28" s="146">
        <v>4.5999999999999996</v>
      </c>
      <c r="D28" s="148">
        <f t="shared" si="1"/>
        <v>326.59999999999997</v>
      </c>
      <c r="E28" s="165">
        <f t="shared" si="2"/>
        <v>303.59999999999997</v>
      </c>
      <c r="F28" s="147">
        <f t="shared" si="3"/>
        <v>630.19999999999993</v>
      </c>
      <c r="G28" s="152">
        <v>5</v>
      </c>
      <c r="H28" s="153">
        <f t="shared" si="4"/>
        <v>355</v>
      </c>
      <c r="I28" s="166">
        <f t="shared" si="5"/>
        <v>330</v>
      </c>
      <c r="J28" s="164">
        <f t="shared" si="6"/>
        <v>685</v>
      </c>
      <c r="K28" s="159">
        <v>5.2</v>
      </c>
      <c r="L28" s="155">
        <f t="shared" si="7"/>
        <v>369.2</v>
      </c>
      <c r="M28" s="155">
        <f t="shared" si="8"/>
        <v>343.2</v>
      </c>
      <c r="N28" s="154">
        <f t="shared" si="9"/>
        <v>712.4</v>
      </c>
    </row>
    <row r="29" spans="1:14" ht="16.5" thickBot="1" x14ac:dyDescent="0.3">
      <c r="A29">
        <v>19000</v>
      </c>
      <c r="B29" s="133" t="s">
        <v>105</v>
      </c>
      <c r="C29" s="146">
        <v>4.5999999999999996</v>
      </c>
      <c r="D29" s="148">
        <f t="shared" si="1"/>
        <v>326.59999999999997</v>
      </c>
      <c r="E29" s="165">
        <f t="shared" si="2"/>
        <v>303.59999999999997</v>
      </c>
      <c r="F29" s="147">
        <f t="shared" si="3"/>
        <v>630.19999999999993</v>
      </c>
      <c r="G29" s="152">
        <v>5</v>
      </c>
      <c r="H29" s="153">
        <f t="shared" si="4"/>
        <v>355</v>
      </c>
      <c r="I29" s="166">
        <f t="shared" si="5"/>
        <v>330</v>
      </c>
      <c r="J29" s="164">
        <f t="shared" si="6"/>
        <v>685</v>
      </c>
      <c r="K29" s="159">
        <v>5.3</v>
      </c>
      <c r="L29" s="155">
        <f t="shared" si="7"/>
        <v>376.3</v>
      </c>
      <c r="M29" s="155">
        <f t="shared" si="8"/>
        <v>349.8</v>
      </c>
      <c r="N29" s="154">
        <f t="shared" si="9"/>
        <v>726.1</v>
      </c>
    </row>
    <row r="30" spans="1:14" ht="16.5" thickBot="1" x14ac:dyDescent="0.3">
      <c r="A30">
        <v>20000</v>
      </c>
      <c r="B30" s="133" t="s">
        <v>106</v>
      </c>
      <c r="C30" s="146">
        <v>5.0999999999999996</v>
      </c>
      <c r="D30" s="148">
        <f t="shared" si="1"/>
        <v>362.09999999999997</v>
      </c>
      <c r="E30" s="165">
        <f t="shared" si="2"/>
        <v>336.59999999999997</v>
      </c>
      <c r="F30" s="147">
        <f t="shared" si="3"/>
        <v>698.69999999999993</v>
      </c>
      <c r="G30" s="152">
        <v>5.3</v>
      </c>
      <c r="H30" s="153">
        <f t="shared" si="4"/>
        <v>376.3</v>
      </c>
      <c r="I30" s="166">
        <f t="shared" si="5"/>
        <v>349.8</v>
      </c>
      <c r="J30" s="164">
        <f t="shared" si="6"/>
        <v>726.1</v>
      </c>
      <c r="K30" s="159">
        <v>5.3</v>
      </c>
      <c r="L30" s="155">
        <f t="shared" si="7"/>
        <v>376.3</v>
      </c>
      <c r="M30" s="155">
        <f t="shared" si="8"/>
        <v>349.8</v>
      </c>
      <c r="N30" s="154">
        <f t="shared" si="9"/>
        <v>726.1</v>
      </c>
    </row>
    <row r="31" spans="1:14" ht="16.5" thickBot="1" x14ac:dyDescent="0.3">
      <c r="A31">
        <v>21000</v>
      </c>
      <c r="B31" s="133" t="s">
        <v>107</v>
      </c>
      <c r="C31" s="146">
        <v>5.0999999999999996</v>
      </c>
      <c r="D31" s="148">
        <f t="shared" si="1"/>
        <v>362.09999999999997</v>
      </c>
      <c r="E31" s="165">
        <f t="shared" si="2"/>
        <v>336.59999999999997</v>
      </c>
      <c r="F31" s="147">
        <f t="shared" si="3"/>
        <v>698.69999999999993</v>
      </c>
      <c r="G31" s="152">
        <v>5.3</v>
      </c>
      <c r="H31" s="153">
        <f t="shared" si="4"/>
        <v>376.3</v>
      </c>
      <c r="I31" s="166">
        <f t="shared" si="5"/>
        <v>349.8</v>
      </c>
      <c r="J31" s="164">
        <f t="shared" si="6"/>
        <v>726.1</v>
      </c>
      <c r="K31" s="159">
        <v>5.3</v>
      </c>
      <c r="L31" s="155">
        <f t="shared" si="7"/>
        <v>376.3</v>
      </c>
      <c r="M31" s="155">
        <f t="shared" si="8"/>
        <v>349.8</v>
      </c>
      <c r="N31" s="154">
        <f t="shared" si="9"/>
        <v>726.1</v>
      </c>
    </row>
    <row r="32" spans="1:14" ht="16.5" thickBot="1" x14ac:dyDescent="0.3">
      <c r="A32">
        <v>22000</v>
      </c>
      <c r="B32" s="133" t="s">
        <v>108</v>
      </c>
      <c r="C32" s="146">
        <v>5.3</v>
      </c>
      <c r="D32" s="148">
        <f t="shared" si="1"/>
        <v>376.3</v>
      </c>
      <c r="E32" s="165">
        <f t="shared" si="2"/>
        <v>349.8</v>
      </c>
      <c r="F32" s="147">
        <f t="shared" si="3"/>
        <v>726.1</v>
      </c>
      <c r="G32" s="152">
        <v>5.5</v>
      </c>
      <c r="H32" s="153">
        <f t="shared" si="4"/>
        <v>390.5</v>
      </c>
      <c r="I32" s="166">
        <f t="shared" si="5"/>
        <v>363</v>
      </c>
      <c r="J32" s="164">
        <f t="shared" si="6"/>
        <v>753.5</v>
      </c>
      <c r="K32" s="159">
        <v>5.6</v>
      </c>
      <c r="L32" s="155">
        <f t="shared" si="7"/>
        <v>397.59999999999997</v>
      </c>
      <c r="M32" s="155">
        <f t="shared" si="8"/>
        <v>369.59999999999997</v>
      </c>
      <c r="N32" s="154">
        <f t="shared" si="9"/>
        <v>767.19999999999993</v>
      </c>
    </row>
  </sheetData>
  <sheetProtection sheet="1" objects="1" scenarios="1"/>
  <mergeCells count="6">
    <mergeCell ref="H9:J9"/>
    <mergeCell ref="L9:N9"/>
    <mergeCell ref="C8:F8"/>
    <mergeCell ref="G8:J8"/>
    <mergeCell ref="K8:N8"/>
    <mergeCell ref="D9:F9"/>
  </mergeCells>
  <phoneticPr fontId="2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8"/>
  <sheetViews>
    <sheetView workbookViewId="0">
      <selection activeCell="L23" sqref="L23"/>
    </sheetView>
  </sheetViews>
  <sheetFormatPr baseColWidth="10" defaultRowHeight="15" x14ac:dyDescent="0.25"/>
  <cols>
    <col min="2" max="2" width="21.28515625" customWidth="1"/>
    <col min="3" max="4" width="18.7109375" customWidth="1"/>
    <col min="5" max="6" width="17.42578125" customWidth="1"/>
    <col min="7" max="8" width="16.28515625" customWidth="1"/>
    <col min="9" max="9" width="17.7109375" customWidth="1"/>
    <col min="10" max="10" width="16.28515625" customWidth="1"/>
  </cols>
  <sheetData>
    <row r="1" spans="1:10" ht="18" customHeight="1" x14ac:dyDescent="0.25">
      <c r="B1" s="108" t="s">
        <v>159</v>
      </c>
      <c r="C1" s="109"/>
      <c r="D1" s="109"/>
      <c r="E1" s="109"/>
      <c r="F1" s="109"/>
      <c r="G1" s="109"/>
      <c r="H1" s="109"/>
      <c r="I1" s="109"/>
      <c r="J1" s="109"/>
    </row>
    <row r="2" spans="1:10" ht="51" thickBot="1" x14ac:dyDescent="0.35">
      <c r="A2" t="s">
        <v>27</v>
      </c>
      <c r="B2" s="21" t="s">
        <v>110</v>
      </c>
      <c r="C2" s="8" t="s">
        <v>112</v>
      </c>
      <c r="D2" s="23" t="s">
        <v>87</v>
      </c>
      <c r="E2" s="25" t="s">
        <v>111</v>
      </c>
      <c r="F2" s="23" t="s">
        <v>87</v>
      </c>
      <c r="G2" s="8" t="s">
        <v>113</v>
      </c>
      <c r="H2" s="23" t="s">
        <v>87</v>
      </c>
      <c r="I2" s="25" t="s">
        <v>72</v>
      </c>
      <c r="J2" s="23" t="s">
        <v>87</v>
      </c>
    </row>
    <row r="3" spans="1:10" ht="18" thickBot="1" x14ac:dyDescent="0.3">
      <c r="A3">
        <v>0</v>
      </c>
      <c r="B3" s="4" t="s">
        <v>109</v>
      </c>
      <c r="C3" s="22">
        <v>100</v>
      </c>
      <c r="D3" s="24">
        <f>C3/2</f>
        <v>50</v>
      </c>
      <c r="E3" s="26">
        <f>C3*0.5</f>
        <v>50</v>
      </c>
      <c r="F3" s="24">
        <f>E3/2</f>
        <v>25</v>
      </c>
      <c r="G3" s="22">
        <f>C3*0.8</f>
        <v>80</v>
      </c>
      <c r="H3" s="24">
        <f>G3/2</f>
        <v>40</v>
      </c>
      <c r="I3" s="26">
        <f>C3*0.3</f>
        <v>30</v>
      </c>
      <c r="J3" s="24">
        <f>I3/2</f>
        <v>15</v>
      </c>
    </row>
    <row r="4" spans="1:10" ht="18" thickBot="1" x14ac:dyDescent="0.3">
      <c r="A4">
        <v>2000</v>
      </c>
      <c r="B4" s="4" t="s">
        <v>88</v>
      </c>
      <c r="C4" s="22">
        <v>119</v>
      </c>
      <c r="D4" s="24">
        <f t="shared" ref="D4:D28" si="0">C4/2</f>
        <v>59.5</v>
      </c>
      <c r="E4" s="26">
        <f t="shared" ref="E4:E28" si="1">C4*0.5</f>
        <v>59.5</v>
      </c>
      <c r="F4" s="24">
        <f t="shared" ref="F4:F28" si="2">E4/2</f>
        <v>29.75</v>
      </c>
      <c r="G4" s="22">
        <f t="shared" ref="G4:G28" si="3">C4*0.8</f>
        <v>95.2</v>
      </c>
      <c r="H4" s="24">
        <f t="shared" ref="H4:H28" si="4">G4/2</f>
        <v>47.6</v>
      </c>
      <c r="I4" s="26">
        <f t="shared" ref="I4:I28" si="5">C4*0.3</f>
        <v>35.699999999999996</v>
      </c>
      <c r="J4" s="24">
        <f t="shared" ref="J4:J28" si="6">I4/2</f>
        <v>17.849999999999998</v>
      </c>
    </row>
    <row r="5" spans="1:10" ht="18" thickBot="1" x14ac:dyDescent="0.3">
      <c r="A5">
        <v>3000</v>
      </c>
      <c r="B5" s="4" t="s">
        <v>89</v>
      </c>
      <c r="C5" s="22">
        <v>138</v>
      </c>
      <c r="D5" s="24">
        <f t="shared" si="0"/>
        <v>69</v>
      </c>
      <c r="E5" s="26">
        <f t="shared" si="1"/>
        <v>69</v>
      </c>
      <c r="F5" s="24">
        <f t="shared" si="2"/>
        <v>34.5</v>
      </c>
      <c r="G5" s="22">
        <f t="shared" si="3"/>
        <v>110.4</v>
      </c>
      <c r="H5" s="24">
        <f t="shared" si="4"/>
        <v>55.2</v>
      </c>
      <c r="I5" s="26">
        <f t="shared" si="5"/>
        <v>41.4</v>
      </c>
      <c r="J5" s="24">
        <f t="shared" si="6"/>
        <v>20.7</v>
      </c>
    </row>
    <row r="6" spans="1:10" ht="18" thickBot="1" x14ac:dyDescent="0.3">
      <c r="A6">
        <v>4000</v>
      </c>
      <c r="B6" s="4" t="s">
        <v>90</v>
      </c>
      <c r="C6" s="22">
        <v>156</v>
      </c>
      <c r="D6" s="24">
        <f t="shared" si="0"/>
        <v>78</v>
      </c>
      <c r="E6" s="26">
        <f t="shared" si="1"/>
        <v>78</v>
      </c>
      <c r="F6" s="24">
        <f t="shared" si="2"/>
        <v>39</v>
      </c>
      <c r="G6" s="22">
        <f t="shared" si="3"/>
        <v>124.80000000000001</v>
      </c>
      <c r="H6" s="24">
        <f t="shared" si="4"/>
        <v>62.400000000000006</v>
      </c>
      <c r="I6" s="26">
        <f t="shared" si="5"/>
        <v>46.8</v>
      </c>
      <c r="J6" s="24">
        <f t="shared" si="6"/>
        <v>23.4</v>
      </c>
    </row>
    <row r="7" spans="1:10" ht="18" thickBot="1" x14ac:dyDescent="0.3">
      <c r="A7">
        <v>5000</v>
      </c>
      <c r="B7" s="4" t="s">
        <v>91</v>
      </c>
      <c r="C7" s="22">
        <v>175</v>
      </c>
      <c r="D7" s="24">
        <f t="shared" si="0"/>
        <v>87.5</v>
      </c>
      <c r="E7" s="26">
        <f t="shared" si="1"/>
        <v>87.5</v>
      </c>
      <c r="F7" s="24">
        <f t="shared" si="2"/>
        <v>43.75</v>
      </c>
      <c r="G7" s="22">
        <f t="shared" si="3"/>
        <v>140</v>
      </c>
      <c r="H7" s="24">
        <f t="shared" si="4"/>
        <v>70</v>
      </c>
      <c r="I7" s="26">
        <f t="shared" si="5"/>
        <v>52.5</v>
      </c>
      <c r="J7" s="24">
        <f t="shared" si="6"/>
        <v>26.25</v>
      </c>
    </row>
    <row r="8" spans="1:10" ht="18" thickBot="1" x14ac:dyDescent="0.3">
      <c r="A8">
        <v>6000</v>
      </c>
      <c r="B8" s="4" t="s">
        <v>92</v>
      </c>
      <c r="C8" s="22">
        <v>194</v>
      </c>
      <c r="D8" s="24">
        <f t="shared" si="0"/>
        <v>97</v>
      </c>
      <c r="E8" s="26">
        <f t="shared" si="1"/>
        <v>97</v>
      </c>
      <c r="F8" s="24">
        <f t="shared" si="2"/>
        <v>48.5</v>
      </c>
      <c r="G8" s="22">
        <f t="shared" si="3"/>
        <v>155.20000000000002</v>
      </c>
      <c r="H8" s="24">
        <f t="shared" si="4"/>
        <v>77.600000000000009</v>
      </c>
      <c r="I8" s="26">
        <f t="shared" si="5"/>
        <v>58.199999999999996</v>
      </c>
      <c r="J8" s="24">
        <f t="shared" si="6"/>
        <v>29.099999999999998</v>
      </c>
    </row>
    <row r="9" spans="1:10" ht="18" thickBot="1" x14ac:dyDescent="0.3">
      <c r="A9">
        <v>7000</v>
      </c>
      <c r="B9" s="4" t="s">
        <v>93</v>
      </c>
      <c r="C9" s="22">
        <v>213</v>
      </c>
      <c r="D9" s="24">
        <f t="shared" si="0"/>
        <v>106.5</v>
      </c>
      <c r="E9" s="26">
        <f t="shared" si="1"/>
        <v>106.5</v>
      </c>
      <c r="F9" s="24">
        <f t="shared" si="2"/>
        <v>53.25</v>
      </c>
      <c r="G9" s="22">
        <f t="shared" si="3"/>
        <v>170.4</v>
      </c>
      <c r="H9" s="24">
        <f t="shared" si="4"/>
        <v>85.2</v>
      </c>
      <c r="I9" s="26">
        <f t="shared" si="5"/>
        <v>63.9</v>
      </c>
      <c r="J9" s="24">
        <f t="shared" si="6"/>
        <v>31.95</v>
      </c>
    </row>
    <row r="10" spans="1:10" ht="18" thickBot="1" x14ac:dyDescent="0.3">
      <c r="A10">
        <v>8000</v>
      </c>
      <c r="B10" s="4" t="s">
        <v>94</v>
      </c>
      <c r="C10" s="22">
        <v>232</v>
      </c>
      <c r="D10" s="24">
        <f t="shared" si="0"/>
        <v>116</v>
      </c>
      <c r="E10" s="26">
        <f t="shared" si="1"/>
        <v>116</v>
      </c>
      <c r="F10" s="24">
        <f t="shared" si="2"/>
        <v>58</v>
      </c>
      <c r="G10" s="22">
        <f t="shared" si="3"/>
        <v>185.60000000000002</v>
      </c>
      <c r="H10" s="24">
        <f t="shared" si="4"/>
        <v>92.800000000000011</v>
      </c>
      <c r="I10" s="26">
        <f t="shared" si="5"/>
        <v>69.599999999999994</v>
      </c>
      <c r="J10" s="24">
        <f t="shared" si="6"/>
        <v>34.799999999999997</v>
      </c>
    </row>
    <row r="11" spans="1:10" ht="18" thickBot="1" x14ac:dyDescent="0.3">
      <c r="A11">
        <v>9000</v>
      </c>
      <c r="B11" s="4" t="s">
        <v>95</v>
      </c>
      <c r="C11" s="22">
        <v>250</v>
      </c>
      <c r="D11" s="24">
        <f t="shared" si="0"/>
        <v>125</v>
      </c>
      <c r="E11" s="26">
        <f t="shared" si="1"/>
        <v>125</v>
      </c>
      <c r="F11" s="24">
        <f t="shared" si="2"/>
        <v>62.5</v>
      </c>
      <c r="G11" s="22">
        <f t="shared" si="3"/>
        <v>200</v>
      </c>
      <c r="H11" s="24">
        <f t="shared" si="4"/>
        <v>100</v>
      </c>
      <c r="I11" s="26">
        <f t="shared" si="5"/>
        <v>75</v>
      </c>
      <c r="J11" s="24">
        <f t="shared" si="6"/>
        <v>37.5</v>
      </c>
    </row>
    <row r="12" spans="1:10" ht="18" thickBot="1" x14ac:dyDescent="0.3">
      <c r="A12">
        <v>10000</v>
      </c>
      <c r="B12" s="4" t="s">
        <v>96</v>
      </c>
      <c r="C12" s="22">
        <v>269</v>
      </c>
      <c r="D12" s="24">
        <f t="shared" si="0"/>
        <v>134.5</v>
      </c>
      <c r="E12" s="26">
        <f t="shared" si="1"/>
        <v>134.5</v>
      </c>
      <c r="F12" s="24">
        <f t="shared" si="2"/>
        <v>67.25</v>
      </c>
      <c r="G12" s="22">
        <f t="shared" si="3"/>
        <v>215.20000000000002</v>
      </c>
      <c r="H12" s="24">
        <f t="shared" si="4"/>
        <v>107.60000000000001</v>
      </c>
      <c r="I12" s="26">
        <f t="shared" si="5"/>
        <v>80.7</v>
      </c>
      <c r="J12" s="24">
        <f t="shared" si="6"/>
        <v>40.35</v>
      </c>
    </row>
    <row r="13" spans="1:10" ht="18" thickBot="1" x14ac:dyDescent="0.3">
      <c r="A13">
        <v>11000</v>
      </c>
      <c r="B13" s="4" t="s">
        <v>97</v>
      </c>
      <c r="C13" s="22">
        <v>288</v>
      </c>
      <c r="D13" s="24">
        <f t="shared" si="0"/>
        <v>144</v>
      </c>
      <c r="E13" s="26">
        <f t="shared" si="1"/>
        <v>144</v>
      </c>
      <c r="F13" s="24">
        <f t="shared" si="2"/>
        <v>72</v>
      </c>
      <c r="G13" s="22">
        <f t="shared" si="3"/>
        <v>230.4</v>
      </c>
      <c r="H13" s="24">
        <f t="shared" si="4"/>
        <v>115.2</v>
      </c>
      <c r="I13" s="26">
        <f t="shared" si="5"/>
        <v>86.399999999999991</v>
      </c>
      <c r="J13" s="24">
        <f t="shared" si="6"/>
        <v>43.199999999999996</v>
      </c>
    </row>
    <row r="14" spans="1:10" ht="18" thickBot="1" x14ac:dyDescent="0.3">
      <c r="A14">
        <v>12000</v>
      </c>
      <c r="B14" s="4" t="s">
        <v>98</v>
      </c>
      <c r="C14" s="22">
        <v>307</v>
      </c>
      <c r="D14" s="24">
        <f t="shared" si="0"/>
        <v>153.5</v>
      </c>
      <c r="E14" s="26">
        <f t="shared" si="1"/>
        <v>153.5</v>
      </c>
      <c r="F14" s="24">
        <f t="shared" si="2"/>
        <v>76.75</v>
      </c>
      <c r="G14" s="22">
        <f t="shared" si="3"/>
        <v>245.60000000000002</v>
      </c>
      <c r="H14" s="24">
        <f t="shared" si="4"/>
        <v>122.80000000000001</v>
      </c>
      <c r="I14" s="26">
        <f t="shared" si="5"/>
        <v>92.1</v>
      </c>
      <c r="J14" s="24">
        <f t="shared" si="6"/>
        <v>46.05</v>
      </c>
    </row>
    <row r="15" spans="1:10" ht="18" thickBot="1" x14ac:dyDescent="0.3">
      <c r="A15">
        <v>13000</v>
      </c>
      <c r="B15" s="4" t="s">
        <v>99</v>
      </c>
      <c r="C15" s="22">
        <v>326</v>
      </c>
      <c r="D15" s="24">
        <f t="shared" si="0"/>
        <v>163</v>
      </c>
      <c r="E15" s="26">
        <f t="shared" si="1"/>
        <v>163</v>
      </c>
      <c r="F15" s="24">
        <f t="shared" si="2"/>
        <v>81.5</v>
      </c>
      <c r="G15" s="22">
        <f t="shared" si="3"/>
        <v>260.8</v>
      </c>
      <c r="H15" s="24">
        <f t="shared" si="4"/>
        <v>130.4</v>
      </c>
      <c r="I15" s="26">
        <f t="shared" si="5"/>
        <v>97.8</v>
      </c>
      <c r="J15" s="24">
        <f t="shared" si="6"/>
        <v>48.9</v>
      </c>
    </row>
    <row r="16" spans="1:10" ht="18" thickBot="1" x14ac:dyDescent="0.3">
      <c r="A16">
        <v>14000</v>
      </c>
      <c r="B16" s="4" t="s">
        <v>100</v>
      </c>
      <c r="C16" s="22">
        <v>344</v>
      </c>
      <c r="D16" s="24">
        <f t="shared" si="0"/>
        <v>172</v>
      </c>
      <c r="E16" s="26">
        <f t="shared" si="1"/>
        <v>172</v>
      </c>
      <c r="F16" s="24">
        <f t="shared" si="2"/>
        <v>86</v>
      </c>
      <c r="G16" s="22">
        <f t="shared" si="3"/>
        <v>275.2</v>
      </c>
      <c r="H16" s="24">
        <f t="shared" si="4"/>
        <v>137.6</v>
      </c>
      <c r="I16" s="26">
        <f t="shared" si="5"/>
        <v>103.2</v>
      </c>
      <c r="J16" s="24">
        <f t="shared" si="6"/>
        <v>51.6</v>
      </c>
    </row>
    <row r="17" spans="1:10" ht="18" thickBot="1" x14ac:dyDescent="0.3">
      <c r="A17">
        <v>15000</v>
      </c>
      <c r="B17" s="4" t="s">
        <v>101</v>
      </c>
      <c r="C17" s="22">
        <v>363</v>
      </c>
      <c r="D17" s="24">
        <f t="shared" si="0"/>
        <v>181.5</v>
      </c>
      <c r="E17" s="26">
        <f t="shared" si="1"/>
        <v>181.5</v>
      </c>
      <c r="F17" s="24">
        <f t="shared" si="2"/>
        <v>90.75</v>
      </c>
      <c r="G17" s="22">
        <f t="shared" si="3"/>
        <v>290.40000000000003</v>
      </c>
      <c r="H17" s="24">
        <f t="shared" si="4"/>
        <v>145.20000000000002</v>
      </c>
      <c r="I17" s="26">
        <f t="shared" si="5"/>
        <v>108.89999999999999</v>
      </c>
      <c r="J17" s="24">
        <f t="shared" si="6"/>
        <v>54.449999999999996</v>
      </c>
    </row>
    <row r="18" spans="1:10" ht="18" thickBot="1" x14ac:dyDescent="0.3">
      <c r="A18">
        <v>16000</v>
      </c>
      <c r="B18" s="4" t="s">
        <v>102</v>
      </c>
      <c r="C18" s="22">
        <v>382</v>
      </c>
      <c r="D18" s="24">
        <f t="shared" si="0"/>
        <v>191</v>
      </c>
      <c r="E18" s="26">
        <f t="shared" si="1"/>
        <v>191</v>
      </c>
      <c r="F18" s="24">
        <f t="shared" si="2"/>
        <v>95.5</v>
      </c>
      <c r="G18" s="22">
        <f t="shared" si="3"/>
        <v>305.60000000000002</v>
      </c>
      <c r="H18" s="24">
        <f t="shared" si="4"/>
        <v>152.80000000000001</v>
      </c>
      <c r="I18" s="26">
        <f t="shared" si="5"/>
        <v>114.6</v>
      </c>
      <c r="J18" s="24">
        <f t="shared" si="6"/>
        <v>57.3</v>
      </c>
    </row>
    <row r="19" spans="1:10" ht="18" thickBot="1" x14ac:dyDescent="0.3">
      <c r="A19">
        <v>17000</v>
      </c>
      <c r="B19" s="4" t="s">
        <v>103</v>
      </c>
      <c r="C19" s="22">
        <v>401</v>
      </c>
      <c r="D19" s="24">
        <f t="shared" si="0"/>
        <v>200.5</v>
      </c>
      <c r="E19" s="26">
        <f t="shared" si="1"/>
        <v>200.5</v>
      </c>
      <c r="F19" s="24">
        <f t="shared" si="2"/>
        <v>100.25</v>
      </c>
      <c r="G19" s="22">
        <f t="shared" si="3"/>
        <v>320.8</v>
      </c>
      <c r="H19" s="24">
        <f t="shared" si="4"/>
        <v>160.4</v>
      </c>
      <c r="I19" s="26">
        <f t="shared" si="5"/>
        <v>120.3</v>
      </c>
      <c r="J19" s="24">
        <f t="shared" si="6"/>
        <v>60.15</v>
      </c>
    </row>
    <row r="20" spans="1:10" ht="18" thickBot="1" x14ac:dyDescent="0.3">
      <c r="A20">
        <v>18000</v>
      </c>
      <c r="B20" s="4" t="s">
        <v>104</v>
      </c>
      <c r="C20" s="22">
        <v>420</v>
      </c>
      <c r="D20" s="24">
        <f t="shared" si="0"/>
        <v>210</v>
      </c>
      <c r="E20" s="26">
        <f t="shared" si="1"/>
        <v>210</v>
      </c>
      <c r="F20" s="24">
        <f t="shared" si="2"/>
        <v>105</v>
      </c>
      <c r="G20" s="22">
        <f t="shared" si="3"/>
        <v>336</v>
      </c>
      <c r="H20" s="24">
        <f t="shared" si="4"/>
        <v>168</v>
      </c>
      <c r="I20" s="26">
        <f t="shared" si="5"/>
        <v>126</v>
      </c>
      <c r="J20" s="24">
        <f t="shared" si="6"/>
        <v>63</v>
      </c>
    </row>
    <row r="21" spans="1:10" ht="18" thickBot="1" x14ac:dyDescent="0.3">
      <c r="A21">
        <v>19000</v>
      </c>
      <c r="B21" s="4" t="s">
        <v>105</v>
      </c>
      <c r="C21" s="22">
        <v>438</v>
      </c>
      <c r="D21" s="24">
        <f t="shared" si="0"/>
        <v>219</v>
      </c>
      <c r="E21" s="26">
        <f t="shared" si="1"/>
        <v>219</v>
      </c>
      <c r="F21" s="24">
        <f t="shared" si="2"/>
        <v>109.5</v>
      </c>
      <c r="G21" s="22">
        <f t="shared" si="3"/>
        <v>350.40000000000003</v>
      </c>
      <c r="H21" s="24">
        <f t="shared" si="4"/>
        <v>175.20000000000002</v>
      </c>
      <c r="I21" s="26">
        <f t="shared" si="5"/>
        <v>131.4</v>
      </c>
      <c r="J21" s="24">
        <f t="shared" si="6"/>
        <v>65.7</v>
      </c>
    </row>
    <row r="22" spans="1:10" ht="18" thickBot="1" x14ac:dyDescent="0.3">
      <c r="A22">
        <v>20000</v>
      </c>
      <c r="B22" s="4" t="s">
        <v>106</v>
      </c>
      <c r="C22" s="22">
        <v>457</v>
      </c>
      <c r="D22" s="24">
        <f t="shared" si="0"/>
        <v>228.5</v>
      </c>
      <c r="E22" s="26">
        <f t="shared" si="1"/>
        <v>228.5</v>
      </c>
      <c r="F22" s="24">
        <f t="shared" si="2"/>
        <v>114.25</v>
      </c>
      <c r="G22" s="22">
        <f t="shared" si="3"/>
        <v>365.6</v>
      </c>
      <c r="H22" s="24">
        <f t="shared" si="4"/>
        <v>182.8</v>
      </c>
      <c r="I22" s="26">
        <f t="shared" si="5"/>
        <v>137.1</v>
      </c>
      <c r="J22" s="24">
        <f t="shared" si="6"/>
        <v>68.55</v>
      </c>
    </row>
    <row r="23" spans="1:10" ht="18" thickBot="1" x14ac:dyDescent="0.3">
      <c r="A23">
        <v>21000</v>
      </c>
      <c r="B23" s="4" t="s">
        <v>107</v>
      </c>
      <c r="C23" s="22">
        <v>476</v>
      </c>
      <c r="D23" s="24">
        <f t="shared" si="0"/>
        <v>238</v>
      </c>
      <c r="E23" s="26">
        <f t="shared" si="1"/>
        <v>238</v>
      </c>
      <c r="F23" s="24">
        <f t="shared" si="2"/>
        <v>119</v>
      </c>
      <c r="G23" s="22">
        <f t="shared" si="3"/>
        <v>380.8</v>
      </c>
      <c r="H23" s="24">
        <f t="shared" si="4"/>
        <v>190.4</v>
      </c>
      <c r="I23" s="26">
        <f t="shared" si="5"/>
        <v>142.79999999999998</v>
      </c>
      <c r="J23" s="24">
        <f t="shared" si="6"/>
        <v>71.399999999999991</v>
      </c>
    </row>
    <row r="24" spans="1:10" ht="18" thickBot="1" x14ac:dyDescent="0.3">
      <c r="A24">
        <v>22000</v>
      </c>
      <c r="B24" s="4" t="s">
        <v>138</v>
      </c>
      <c r="C24" s="22">
        <v>495</v>
      </c>
      <c r="D24" s="24">
        <f t="shared" si="0"/>
        <v>247.5</v>
      </c>
      <c r="E24" s="26">
        <f t="shared" si="1"/>
        <v>247.5</v>
      </c>
      <c r="F24" s="24">
        <f t="shared" si="2"/>
        <v>123.75</v>
      </c>
      <c r="G24" s="22">
        <f t="shared" si="3"/>
        <v>396</v>
      </c>
      <c r="H24" s="24">
        <f t="shared" si="4"/>
        <v>198</v>
      </c>
      <c r="I24" s="26">
        <f t="shared" si="5"/>
        <v>148.5</v>
      </c>
      <c r="J24" s="24">
        <f t="shared" si="6"/>
        <v>74.25</v>
      </c>
    </row>
    <row r="25" spans="1:10" ht="18" thickBot="1" x14ac:dyDescent="0.3">
      <c r="A25">
        <v>24000</v>
      </c>
      <c r="B25" s="4" t="s">
        <v>139</v>
      </c>
      <c r="C25" s="22">
        <v>514</v>
      </c>
      <c r="D25" s="24">
        <f t="shared" si="0"/>
        <v>257</v>
      </c>
      <c r="E25" s="26">
        <f t="shared" si="1"/>
        <v>257</v>
      </c>
      <c r="F25" s="24">
        <f t="shared" si="2"/>
        <v>128.5</v>
      </c>
      <c r="G25" s="22">
        <f t="shared" si="3"/>
        <v>411.20000000000005</v>
      </c>
      <c r="H25" s="24">
        <f t="shared" si="4"/>
        <v>205.60000000000002</v>
      </c>
      <c r="I25" s="26">
        <f t="shared" si="5"/>
        <v>154.19999999999999</v>
      </c>
      <c r="J25" s="24">
        <f t="shared" si="6"/>
        <v>77.099999999999994</v>
      </c>
    </row>
    <row r="26" spans="1:10" ht="18" thickBot="1" x14ac:dyDescent="0.3">
      <c r="A26">
        <v>26000</v>
      </c>
      <c r="B26" s="4" t="s">
        <v>140</v>
      </c>
      <c r="C26" s="22">
        <v>532</v>
      </c>
      <c r="D26" s="24">
        <f t="shared" si="0"/>
        <v>266</v>
      </c>
      <c r="E26" s="26">
        <f t="shared" si="1"/>
        <v>266</v>
      </c>
      <c r="F26" s="24">
        <f t="shared" si="2"/>
        <v>133</v>
      </c>
      <c r="G26" s="22">
        <f t="shared" si="3"/>
        <v>425.6</v>
      </c>
      <c r="H26" s="24">
        <f t="shared" si="4"/>
        <v>212.8</v>
      </c>
      <c r="I26" s="26">
        <f t="shared" si="5"/>
        <v>159.6</v>
      </c>
      <c r="J26" s="24">
        <f t="shared" si="6"/>
        <v>79.8</v>
      </c>
    </row>
    <row r="27" spans="1:10" ht="18" thickBot="1" x14ac:dyDescent="0.3">
      <c r="A27">
        <v>28000</v>
      </c>
      <c r="B27" s="4" t="s">
        <v>141</v>
      </c>
      <c r="C27" s="22">
        <v>551</v>
      </c>
      <c r="D27" s="24">
        <f t="shared" si="0"/>
        <v>275.5</v>
      </c>
      <c r="E27" s="26">
        <f t="shared" si="1"/>
        <v>275.5</v>
      </c>
      <c r="F27" s="24">
        <f t="shared" si="2"/>
        <v>137.75</v>
      </c>
      <c r="G27" s="22">
        <f t="shared" si="3"/>
        <v>440.8</v>
      </c>
      <c r="H27" s="24">
        <f t="shared" si="4"/>
        <v>220.4</v>
      </c>
      <c r="I27" s="26">
        <f t="shared" si="5"/>
        <v>165.29999999999998</v>
      </c>
      <c r="J27" s="24">
        <f t="shared" si="6"/>
        <v>82.649999999999991</v>
      </c>
    </row>
    <row r="28" spans="1:10" ht="18" thickBot="1" x14ac:dyDescent="0.3">
      <c r="A28">
        <v>30001</v>
      </c>
      <c r="B28" s="4" t="s">
        <v>142</v>
      </c>
      <c r="C28" s="22">
        <v>570</v>
      </c>
      <c r="D28" s="24">
        <f t="shared" si="0"/>
        <v>285</v>
      </c>
      <c r="E28" s="26">
        <f t="shared" si="1"/>
        <v>285</v>
      </c>
      <c r="F28" s="24">
        <f t="shared" si="2"/>
        <v>142.5</v>
      </c>
      <c r="G28" s="22">
        <f t="shared" si="3"/>
        <v>456</v>
      </c>
      <c r="H28" s="24">
        <f t="shared" si="4"/>
        <v>228</v>
      </c>
      <c r="I28" s="26">
        <f t="shared" si="5"/>
        <v>171</v>
      </c>
      <c r="J28" s="24">
        <f t="shared" si="6"/>
        <v>85.5</v>
      </c>
    </row>
  </sheetData>
  <sheetProtection sheet="1" objects="1" scenarios="1"/>
  <mergeCells count="1">
    <mergeCell ref="B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1"/>
  <sheetViews>
    <sheetView workbookViewId="0">
      <selection activeCell="F29" sqref="F29"/>
    </sheetView>
  </sheetViews>
  <sheetFormatPr baseColWidth="10" defaultRowHeight="15" x14ac:dyDescent="0.25"/>
  <cols>
    <col min="1" max="1" width="15.42578125" bestFit="1" customWidth="1"/>
    <col min="2" max="2" width="23.140625" customWidth="1"/>
    <col min="3" max="3" width="25.140625" customWidth="1"/>
    <col min="4" max="4" width="29.42578125" customWidth="1"/>
  </cols>
  <sheetData>
    <row r="1" spans="1:4" ht="17.45" thickBot="1" x14ac:dyDescent="0.35">
      <c r="A1" s="110" t="s">
        <v>55</v>
      </c>
      <c r="B1" s="111"/>
      <c r="C1" s="111"/>
      <c r="D1" s="112"/>
    </row>
    <row r="2" spans="1:4" ht="17.25" x14ac:dyDescent="0.25">
      <c r="A2" s="113" t="s">
        <v>56</v>
      </c>
      <c r="B2" s="115" t="s">
        <v>57</v>
      </c>
      <c r="C2" s="115" t="s">
        <v>58</v>
      </c>
      <c r="D2" s="15" t="s">
        <v>59</v>
      </c>
    </row>
    <row r="3" spans="1:4" ht="18" thickBot="1" x14ac:dyDescent="0.3">
      <c r="A3" s="114"/>
      <c r="B3" s="116"/>
      <c r="C3" s="116"/>
      <c r="D3" s="16" t="s">
        <v>60</v>
      </c>
    </row>
    <row r="4" spans="1:4" ht="18" thickBot="1" x14ac:dyDescent="0.3">
      <c r="A4" s="9" t="s">
        <v>61</v>
      </c>
      <c r="B4" s="3">
        <v>2</v>
      </c>
      <c r="C4" s="3">
        <v>6.5</v>
      </c>
      <c r="D4" s="3">
        <v>1.5</v>
      </c>
    </row>
    <row r="5" spans="1:4" ht="18" thickBot="1" x14ac:dyDescent="0.3">
      <c r="A5" s="9" t="s">
        <v>62</v>
      </c>
      <c r="B5" s="3">
        <v>4</v>
      </c>
      <c r="C5" s="3">
        <v>7</v>
      </c>
      <c r="D5" s="3">
        <v>2</v>
      </c>
    </row>
    <row r="6" spans="1:4" ht="18" thickBot="1" x14ac:dyDescent="0.3">
      <c r="A6" s="9" t="s">
        <v>63</v>
      </c>
      <c r="B6" s="3">
        <v>5.2</v>
      </c>
      <c r="C6" s="3">
        <v>7.6</v>
      </c>
      <c r="D6" s="3">
        <v>3.6</v>
      </c>
    </row>
    <row r="7" spans="1:4" ht="18" thickBot="1" x14ac:dyDescent="0.3">
      <c r="A7" s="9" t="s">
        <v>64</v>
      </c>
      <c r="B7" s="3">
        <v>6.3</v>
      </c>
      <c r="C7" s="3">
        <v>8.8000000000000007</v>
      </c>
      <c r="D7" s="3">
        <v>5.8</v>
      </c>
    </row>
    <row r="8" spans="1:4" ht="18" thickBot="1" x14ac:dyDescent="0.3">
      <c r="A8" s="9" t="s">
        <v>65</v>
      </c>
      <c r="B8" s="3">
        <v>7.3</v>
      </c>
      <c r="C8" s="3">
        <v>8.8000000000000007</v>
      </c>
      <c r="D8" s="3">
        <v>8.8000000000000007</v>
      </c>
    </row>
    <row r="9" spans="1:4" ht="18" thickBot="1" x14ac:dyDescent="0.3">
      <c r="A9" s="9" t="s">
        <v>66</v>
      </c>
      <c r="B9" s="3">
        <v>8.4</v>
      </c>
      <c r="C9" s="3">
        <v>10</v>
      </c>
      <c r="D9" s="3">
        <v>10</v>
      </c>
    </row>
    <row r="10" spans="1:4" ht="18" thickBot="1" x14ac:dyDescent="0.3">
      <c r="A10" s="9" t="s">
        <v>67</v>
      </c>
      <c r="B10" s="3">
        <v>9</v>
      </c>
      <c r="C10" s="3">
        <v>12</v>
      </c>
      <c r="D10" s="3">
        <v>12</v>
      </c>
    </row>
    <row r="11" spans="1:4" ht="18" thickBot="1" x14ac:dyDescent="0.3">
      <c r="A11" s="9" t="s">
        <v>68</v>
      </c>
      <c r="B11" s="3">
        <v>10</v>
      </c>
      <c r="C11" s="3">
        <v>13</v>
      </c>
      <c r="D11" s="3">
        <v>13</v>
      </c>
    </row>
  </sheetData>
  <sheetProtection sheet="1" objects="1" scenarios="1"/>
  <mergeCells count="4">
    <mergeCell ref="A1:D1"/>
    <mergeCell ref="A2:A3"/>
    <mergeCell ref="B2:B3"/>
    <mergeCell ref="C2:C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6"/>
  <sheetViews>
    <sheetView workbookViewId="0">
      <selection activeCell="H9" sqref="H9"/>
    </sheetView>
  </sheetViews>
  <sheetFormatPr baseColWidth="10" defaultRowHeight="15" x14ac:dyDescent="0.25"/>
  <cols>
    <col min="2" max="2" width="18.85546875" bestFit="1" customWidth="1"/>
    <col min="3" max="4" width="19.5703125" customWidth="1"/>
    <col min="5" max="5" width="9.7109375" customWidth="1"/>
    <col min="6" max="6" width="14.28515625" bestFit="1" customWidth="1"/>
    <col min="7" max="7" width="11" bestFit="1" customWidth="1"/>
    <col min="8" max="8" width="14.42578125" bestFit="1" customWidth="1"/>
    <col min="9" max="9" width="15.42578125" bestFit="1" customWidth="1"/>
    <col min="10" max="10" width="13.42578125" bestFit="1" customWidth="1"/>
    <col min="11" max="11" width="19.42578125" bestFit="1" customWidth="1"/>
  </cols>
  <sheetData>
    <row r="1" spans="1:12" ht="15.75" x14ac:dyDescent="0.25">
      <c r="A1" s="11" t="s">
        <v>50</v>
      </c>
      <c r="B1" s="11" t="s">
        <v>49</v>
      </c>
      <c r="C1" s="11" t="s">
        <v>30</v>
      </c>
      <c r="D1" s="11" t="s">
        <v>76</v>
      </c>
      <c r="E1" s="11"/>
      <c r="G1" s="11" t="s">
        <v>85</v>
      </c>
      <c r="H1" s="11" t="s">
        <v>143</v>
      </c>
      <c r="I1" s="11" t="s">
        <v>144</v>
      </c>
      <c r="L1" s="10"/>
    </row>
    <row r="2" spans="1:12" ht="15.75" x14ac:dyDescent="0.25">
      <c r="A2" s="18" t="s">
        <v>28</v>
      </c>
      <c r="B2" s="18" t="s">
        <v>84</v>
      </c>
      <c r="C2" s="18" t="s">
        <v>52</v>
      </c>
      <c r="D2" s="18" t="s">
        <v>29</v>
      </c>
      <c r="E2" s="10"/>
      <c r="F2" s="10" t="s">
        <v>118</v>
      </c>
      <c r="G2" s="97" t="b">
        <f>AND('Estimation des frais'!C8&lt;&gt;"",'Estimation des frais'!C8&lt;&gt;"&lt;Classe à choisir&gt;")</f>
        <v>0</v>
      </c>
      <c r="H2" s="18">
        <f>IF(Config!G2,IF('Estimation des frais'!E8="Non",0,1),0)</f>
        <v>0</v>
      </c>
      <c r="I2" s="18">
        <f>IF(H2=0,0,IF(H2=1,1,IF(H2=2,0.8,0.7)))</f>
        <v>0</v>
      </c>
      <c r="L2" s="10"/>
    </row>
    <row r="3" spans="1:12" ht="15.75" x14ac:dyDescent="0.25">
      <c r="A3" s="12" t="s">
        <v>29</v>
      </c>
      <c r="B3" s="13" t="s">
        <v>117</v>
      </c>
      <c r="C3" s="13" t="s">
        <v>54</v>
      </c>
      <c r="D3" s="13" t="s">
        <v>75</v>
      </c>
      <c r="E3" s="10"/>
      <c r="F3" s="10" t="s">
        <v>119</v>
      </c>
      <c r="G3" s="98" t="b">
        <f>AND('Estimation des frais'!C9&lt;&gt;"",'Estimation des frais'!C9&lt;&gt;"&lt;Classe à choisir&gt;")</f>
        <v>0</v>
      </c>
      <c r="H3" s="13">
        <f>IF(Config!G3,IF('Estimation des frais'!E9="Non",H2,H2+1),0)</f>
        <v>0</v>
      </c>
      <c r="I3" s="13">
        <f t="shared" ref="I3:I5" si="0">IF(H3=0,0,IF(H3=1,1,IF(H3=2,0.8,0.7)))</f>
        <v>0</v>
      </c>
      <c r="L3" s="10"/>
    </row>
    <row r="4" spans="1:12" ht="15.75" x14ac:dyDescent="0.25">
      <c r="B4" s="13" t="s">
        <v>47</v>
      </c>
      <c r="C4" s="12" t="s">
        <v>51</v>
      </c>
      <c r="D4" s="13" t="s">
        <v>73</v>
      </c>
      <c r="E4" s="10"/>
      <c r="F4" s="10" t="s">
        <v>120</v>
      </c>
      <c r="G4" s="98" t="b">
        <f>AND('Estimation des frais'!C10&lt;&gt;"",'Estimation des frais'!C10&lt;&gt;"&lt;Classe à choisir&gt;")</f>
        <v>0</v>
      </c>
      <c r="H4" s="13">
        <f>IF(Config!G4,IF('Estimation des frais'!E10="Non",H3,H3+1),0)</f>
        <v>0</v>
      </c>
      <c r="I4" s="13">
        <f t="shared" si="0"/>
        <v>0</v>
      </c>
      <c r="J4" s="10"/>
      <c r="L4" s="10"/>
    </row>
    <row r="5" spans="1:12" ht="15.75" x14ac:dyDescent="0.25">
      <c r="B5" s="13" t="s">
        <v>46</v>
      </c>
      <c r="D5" s="13" t="s">
        <v>74</v>
      </c>
      <c r="E5" s="10"/>
      <c r="F5" s="10" t="s">
        <v>121</v>
      </c>
      <c r="G5" s="99" t="b">
        <f>AND('Estimation des frais'!C11&lt;&gt;"",'Estimation des frais'!C11&lt;&gt;"&lt;Classe à choisir&gt;")</f>
        <v>0</v>
      </c>
      <c r="H5" s="12">
        <f>IF(Config!G5,IF('Estimation des frais'!E11="Non",H4,H4+1),0)</f>
        <v>0</v>
      </c>
      <c r="I5" s="12">
        <f t="shared" si="0"/>
        <v>0</v>
      </c>
      <c r="K5" s="10"/>
      <c r="L5" s="10"/>
    </row>
    <row r="6" spans="1:12" ht="15.75" x14ac:dyDescent="0.25">
      <c r="B6" s="13" t="s">
        <v>45</v>
      </c>
      <c r="C6" s="14"/>
      <c r="D6" s="12" t="s">
        <v>72</v>
      </c>
      <c r="E6" s="10"/>
      <c r="F6" s="10"/>
      <c r="G6" s="10"/>
      <c r="H6" s="10"/>
      <c r="I6" s="10"/>
      <c r="K6" s="10"/>
      <c r="L6" s="10"/>
    </row>
    <row r="7" spans="1:12" ht="15.75" x14ac:dyDescent="0.25">
      <c r="B7" s="13" t="s">
        <v>44</v>
      </c>
      <c r="C7" s="10"/>
      <c r="D7" s="10"/>
      <c r="E7" s="10"/>
      <c r="F7" s="11"/>
      <c r="G7" s="11" t="s">
        <v>122</v>
      </c>
      <c r="H7" s="10"/>
      <c r="I7" s="10"/>
      <c r="K7" s="10"/>
      <c r="L7" s="10"/>
    </row>
    <row r="8" spans="1:12" ht="15.75" x14ac:dyDescent="0.25">
      <c r="B8" s="13" t="s">
        <v>43</v>
      </c>
      <c r="D8" s="10"/>
      <c r="E8" s="10"/>
      <c r="F8" s="10" t="s">
        <v>123</v>
      </c>
      <c r="G8" s="17">
        <f>IF('Estimation des frais'!E14="Oui",0.9,1)</f>
        <v>1</v>
      </c>
      <c r="H8" s="10"/>
      <c r="I8" s="10"/>
      <c r="J8" s="11"/>
      <c r="L8" s="11"/>
    </row>
    <row r="9" spans="1:12" ht="15.75" x14ac:dyDescent="0.25">
      <c r="B9" s="13" t="s">
        <v>42</v>
      </c>
      <c r="D9" s="10"/>
      <c r="E9" s="10"/>
      <c r="F9" s="10" t="s">
        <v>124</v>
      </c>
      <c r="G9" s="17">
        <f>IF('Estimation des frais'!E15="Oui",0.5,1)</f>
        <v>1</v>
      </c>
      <c r="H9" s="10"/>
      <c r="I9" s="10"/>
      <c r="J9" s="10"/>
      <c r="L9" s="10"/>
    </row>
    <row r="10" spans="1:12" ht="15.75" x14ac:dyDescent="0.25">
      <c r="B10" s="13" t="s">
        <v>41</v>
      </c>
      <c r="J10" s="10"/>
      <c r="L10" s="10"/>
    </row>
    <row r="11" spans="1:12" ht="15.75" x14ac:dyDescent="0.25">
      <c r="B11" s="13" t="s">
        <v>40</v>
      </c>
      <c r="J11" s="10"/>
      <c r="L11" s="10"/>
    </row>
    <row r="12" spans="1:12" ht="15.6" x14ac:dyDescent="0.3">
      <c r="B12" s="13" t="s">
        <v>39</v>
      </c>
      <c r="J12" s="10"/>
      <c r="L12" s="10"/>
    </row>
    <row r="13" spans="1:12" ht="15.6" x14ac:dyDescent="0.3">
      <c r="B13" s="13" t="s">
        <v>38</v>
      </c>
      <c r="C13" s="10"/>
      <c r="D13" s="10"/>
      <c r="E13" s="10"/>
      <c r="F13" s="10"/>
      <c r="G13" s="10"/>
      <c r="H13" s="10"/>
      <c r="I13" s="10"/>
      <c r="J13" s="10"/>
      <c r="L13" s="10"/>
    </row>
    <row r="14" spans="1:12" ht="15.6" x14ac:dyDescent="0.3">
      <c r="B14" s="13" t="s">
        <v>37</v>
      </c>
      <c r="C14" s="10"/>
      <c r="D14" s="10"/>
      <c r="E14" s="10"/>
      <c r="F14" s="10"/>
      <c r="G14" s="10"/>
      <c r="H14" s="10"/>
      <c r="I14" s="10"/>
      <c r="J14" s="10"/>
      <c r="L14" s="10"/>
    </row>
    <row r="15" spans="1:12" ht="15.6" x14ac:dyDescent="0.3">
      <c r="B15" s="12" t="s">
        <v>36</v>
      </c>
      <c r="C15" s="10"/>
      <c r="D15" s="10"/>
      <c r="E15" s="10"/>
      <c r="F15" s="10"/>
      <c r="G15" s="10"/>
      <c r="H15" s="10"/>
      <c r="I15" s="10"/>
      <c r="J15" s="10"/>
      <c r="L15" s="10"/>
    </row>
    <row r="16" spans="1:12" ht="15.6" x14ac:dyDescent="0.3">
      <c r="J16" s="10"/>
      <c r="L16" s="10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Estimation des frais</vt:lpstr>
      <vt:lpstr>Scolarité</vt:lpstr>
      <vt:lpstr>Pédagogique</vt:lpstr>
      <vt:lpstr>Séjour</vt:lpstr>
      <vt:lpstr>Cantine</vt:lpstr>
      <vt:lpstr>ALAE primaire</vt:lpstr>
      <vt:lpstr>ALSH primaire</vt:lpstr>
      <vt:lpstr>Config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</dc:creator>
  <cp:lastModifiedBy>Nicolas VIAUD</cp:lastModifiedBy>
  <dcterms:created xsi:type="dcterms:W3CDTF">2015-06-05T18:19:34Z</dcterms:created>
  <dcterms:modified xsi:type="dcterms:W3CDTF">2026-03-16T13:22:38Z</dcterms:modified>
</cp:coreProperties>
</file>