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-105" yWindow="-105" windowWidth="23250" windowHeight="12570" tabRatio="730"/>
  </bookViews>
  <sheets>
    <sheet name="Estimation des frais" sheetId="1" r:id="rId1"/>
    <sheet name="Scolarité" sheetId="8" r:id="rId2"/>
    <sheet name="Pédagogique" sheetId="9" r:id="rId3"/>
    <sheet name="Séjour" sheetId="10" r:id="rId4"/>
    <sheet name="Cantine" sheetId="11" r:id="rId5"/>
    <sheet name="ALAE primaire" sheetId="12" r:id="rId6"/>
    <sheet name="ALSH primaire" sheetId="7" r:id="rId7"/>
    <sheet name="Config" sheetId="13" state="hidden" r:id="rId8"/>
  </sheets>
  <definedNames>
    <definedName name="_">'Estimation des frais'!#REF!</definedName>
    <definedName name="Niveau_Classe">'Estimation des frais'!#REF!</definedName>
    <definedName name="Oui_Non">'Estimation des frais'!#REF!</definedName>
    <definedName name="PAS_DE_CLASSE">'Estimation des frais'!#REF!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2" l="1"/>
  <c r="D28" i="12"/>
  <c r="E28" i="12"/>
  <c r="F28" i="12" s="1"/>
  <c r="G28" i="12"/>
  <c r="H28" i="12"/>
  <c r="I28" i="12"/>
  <c r="J28" i="12" s="1"/>
  <c r="D27" i="12"/>
  <c r="E27" i="12"/>
  <c r="F27" i="12"/>
  <c r="G27" i="12"/>
  <c r="H27" i="12" s="1"/>
  <c r="I27" i="12"/>
  <c r="J27" i="12"/>
  <c r="D26" i="12"/>
  <c r="E26" i="12"/>
  <c r="F26" i="12"/>
  <c r="G26" i="12"/>
  <c r="H26" i="12" s="1"/>
  <c r="I26" i="12"/>
  <c r="J26" i="12"/>
  <c r="D25" i="12"/>
  <c r="E25" i="12"/>
  <c r="F25" i="12" s="1"/>
  <c r="G25" i="12"/>
  <c r="H25" i="12"/>
  <c r="I25" i="12"/>
  <c r="J25" i="12" s="1"/>
  <c r="B70" i="1" l="1"/>
  <c r="B61" i="1"/>
  <c r="B52" i="1"/>
  <c r="B43" i="1"/>
  <c r="G3" i="13"/>
  <c r="G4" i="13"/>
  <c r="G5" i="13"/>
  <c r="G2" i="13"/>
  <c r="H2" i="13" s="1"/>
  <c r="E15" i="1"/>
  <c r="E16" i="1"/>
  <c r="E17" i="1"/>
  <c r="E14" i="1"/>
  <c r="E4" i="12"/>
  <c r="E5" i="12"/>
  <c r="E6" i="12"/>
  <c r="F6" i="12" s="1"/>
  <c r="E7" i="12"/>
  <c r="F7" i="12" s="1"/>
  <c r="E8" i="12"/>
  <c r="F8" i="12" s="1"/>
  <c r="E9" i="12"/>
  <c r="E10" i="12"/>
  <c r="F10" i="12" s="1"/>
  <c r="E11" i="12"/>
  <c r="F11" i="12" s="1"/>
  <c r="E12" i="12"/>
  <c r="E13" i="12"/>
  <c r="F13" i="12" s="1"/>
  <c r="E14" i="12"/>
  <c r="F14" i="12" s="1"/>
  <c r="E15" i="12"/>
  <c r="F15" i="12" s="1"/>
  <c r="E16" i="12"/>
  <c r="E17" i="12"/>
  <c r="E18" i="12"/>
  <c r="F18" i="12" s="1"/>
  <c r="E19" i="12"/>
  <c r="F19" i="12" s="1"/>
  <c r="E20" i="12"/>
  <c r="E21" i="12"/>
  <c r="E22" i="12"/>
  <c r="F22" i="12" s="1"/>
  <c r="E23" i="12"/>
  <c r="F23" i="12" s="1"/>
  <c r="E24" i="12"/>
  <c r="F24" i="12" s="1"/>
  <c r="F3" i="12"/>
  <c r="J3" i="12"/>
  <c r="H3" i="12"/>
  <c r="F4" i="12"/>
  <c r="F5" i="12"/>
  <c r="F9" i="12"/>
  <c r="F12" i="12"/>
  <c r="F16" i="12"/>
  <c r="F17" i="12"/>
  <c r="F20" i="12"/>
  <c r="F21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3" i="12"/>
  <c r="D24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" i="11"/>
  <c r="G9" i="13"/>
  <c r="G8" i="13"/>
  <c r="D70" i="1" l="1"/>
  <c r="H3" i="13"/>
  <c r="I2" i="13"/>
  <c r="C61" i="1"/>
  <c r="C60" i="1"/>
  <c r="C51" i="1"/>
  <c r="C70" i="1"/>
  <c r="D61" i="1"/>
  <c r="D69" i="1"/>
  <c r="C42" i="1"/>
  <c r="D42" i="1"/>
  <c r="C69" i="1"/>
  <c r="C45" i="1"/>
  <c r="D60" i="1"/>
  <c r="D51" i="1"/>
  <c r="C41" i="1"/>
  <c r="D41" i="1"/>
  <c r="D44" i="1" l="1"/>
  <c r="C44" i="1"/>
  <c r="I3" i="13"/>
  <c r="H4" i="13"/>
  <c r="E51" i="1"/>
  <c r="C54" i="1"/>
  <c r="C50" i="1"/>
  <c r="D50" i="1"/>
  <c r="I4" i="13" l="1"/>
  <c r="H5" i="13"/>
  <c r="I5" i="13" s="1"/>
  <c r="E50" i="1"/>
  <c r="C59" i="1"/>
  <c r="C63" i="1"/>
  <c r="D59" i="1"/>
  <c r="D71" i="1" l="1"/>
  <c r="C71" i="1"/>
  <c r="D68" i="1"/>
  <c r="C72" i="1"/>
  <c r="C68" i="1"/>
  <c r="E36" i="1" l="1"/>
  <c r="C37" i="1"/>
  <c r="E37" i="1" s="1"/>
  <c r="B39" i="1"/>
  <c r="B44" i="1"/>
  <c r="B48" i="1"/>
  <c r="B53" i="1"/>
  <c r="B57" i="1"/>
  <c r="B62" i="1"/>
  <c r="B66" i="1"/>
  <c r="B71" i="1"/>
  <c r="C21" i="1"/>
  <c r="C20" i="1"/>
  <c r="I4" i="12"/>
  <c r="J4" i="12" s="1"/>
  <c r="I5" i="12"/>
  <c r="J5" i="12" s="1"/>
  <c r="I6" i="12"/>
  <c r="J6" i="12" s="1"/>
  <c r="I7" i="12"/>
  <c r="J7" i="12" s="1"/>
  <c r="I8" i="12"/>
  <c r="J8" i="12" s="1"/>
  <c r="I9" i="12"/>
  <c r="J9" i="12" s="1"/>
  <c r="I10" i="12"/>
  <c r="J10" i="12" s="1"/>
  <c r="I11" i="12"/>
  <c r="J11" i="12" s="1"/>
  <c r="I12" i="12"/>
  <c r="J12" i="12" s="1"/>
  <c r="I13" i="12"/>
  <c r="J13" i="12" s="1"/>
  <c r="I14" i="12"/>
  <c r="J14" i="12" s="1"/>
  <c r="I15" i="12"/>
  <c r="J15" i="12" s="1"/>
  <c r="I16" i="12"/>
  <c r="J16" i="12" s="1"/>
  <c r="I17" i="12"/>
  <c r="J17" i="12" s="1"/>
  <c r="I18" i="12"/>
  <c r="J18" i="12" s="1"/>
  <c r="I19" i="12"/>
  <c r="J19" i="12" s="1"/>
  <c r="I20" i="12"/>
  <c r="J20" i="12" s="1"/>
  <c r="I21" i="12"/>
  <c r="J21" i="12" s="1"/>
  <c r="I22" i="12"/>
  <c r="J22" i="12" s="1"/>
  <c r="I23" i="12"/>
  <c r="J23" i="12" s="1"/>
  <c r="I24" i="12"/>
  <c r="J24" i="12" s="1"/>
  <c r="I3" i="12"/>
  <c r="G4" i="12"/>
  <c r="H4" i="12" s="1"/>
  <c r="G5" i="12"/>
  <c r="H5" i="12" s="1"/>
  <c r="G6" i="12"/>
  <c r="H6" i="12" s="1"/>
  <c r="G7" i="12"/>
  <c r="H7" i="12" s="1"/>
  <c r="G8" i="12"/>
  <c r="H8" i="12" s="1"/>
  <c r="G9" i="12"/>
  <c r="H9" i="12" s="1"/>
  <c r="G10" i="12"/>
  <c r="H10" i="12" s="1"/>
  <c r="G11" i="12"/>
  <c r="H11" i="12" s="1"/>
  <c r="G12" i="12"/>
  <c r="H12" i="12" s="1"/>
  <c r="G13" i="12"/>
  <c r="H13" i="12" s="1"/>
  <c r="G14" i="12"/>
  <c r="H14" i="12" s="1"/>
  <c r="G15" i="12"/>
  <c r="H15" i="12" s="1"/>
  <c r="G16" i="12"/>
  <c r="H16" i="12" s="1"/>
  <c r="G17" i="12"/>
  <c r="H17" i="12" s="1"/>
  <c r="G18" i="12"/>
  <c r="H18" i="12" s="1"/>
  <c r="G19" i="12"/>
  <c r="H19" i="12" s="1"/>
  <c r="G20" i="12"/>
  <c r="H20" i="12" s="1"/>
  <c r="G21" i="12"/>
  <c r="H21" i="12" s="1"/>
  <c r="G22" i="12"/>
  <c r="H22" i="12" s="1"/>
  <c r="G23" i="12"/>
  <c r="H23" i="12" s="1"/>
  <c r="G24" i="12"/>
  <c r="H24" i="12" s="1"/>
  <c r="G3" i="12"/>
  <c r="C4" i="10"/>
  <c r="C3" i="10"/>
  <c r="C4" i="9"/>
  <c r="C5" i="9"/>
  <c r="C6" i="9"/>
  <c r="C3" i="9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3" i="8"/>
  <c r="C22" i="1"/>
  <c r="C43" i="1" l="1"/>
  <c r="C53" i="1"/>
  <c r="C62" i="1"/>
  <c r="D53" i="1"/>
  <c r="D62" i="1"/>
  <c r="C40" i="1"/>
  <c r="D52" i="1"/>
  <c r="D40" i="1"/>
  <c r="D49" i="1"/>
  <c r="D58" i="1"/>
  <c r="D67" i="1"/>
  <c r="C49" i="1"/>
  <c r="C52" i="1"/>
  <c r="C58" i="1"/>
  <c r="C67" i="1"/>
  <c r="D43" i="1"/>
  <c r="E63" i="1"/>
  <c r="E54" i="1"/>
  <c r="E45" i="1"/>
  <c r="E72" i="1"/>
  <c r="D46" i="1" l="1"/>
  <c r="D55" i="1"/>
  <c r="C64" i="1"/>
  <c r="C46" i="1"/>
  <c r="C55" i="1"/>
  <c r="E49" i="1"/>
  <c r="D73" i="1"/>
  <c r="C73" i="1"/>
  <c r="D64" i="1"/>
  <c r="E61" i="1"/>
  <c r="E69" i="1"/>
  <c r="E70" i="1"/>
  <c r="E67" i="1"/>
  <c r="E42" i="1"/>
  <c r="E41" i="1"/>
  <c r="E59" i="1"/>
  <c r="E60" i="1"/>
  <c r="E68" i="1"/>
  <c r="E58" i="1"/>
  <c r="E40" i="1"/>
  <c r="C30" i="1" l="1"/>
  <c r="C31" i="1" s="1"/>
  <c r="D30" i="1"/>
  <c r="D31" i="1" s="1"/>
  <c r="E71" i="1"/>
  <c r="E73" i="1" s="1"/>
  <c r="E53" i="1"/>
  <c r="E62" i="1"/>
  <c r="E64" i="1" s="1"/>
  <c r="E43" i="1" l="1"/>
  <c r="E52" i="1"/>
  <c r="E55" i="1" s="1"/>
  <c r="E44" i="1" l="1"/>
  <c r="E46" i="1" s="1"/>
  <c r="E30" i="1" s="1"/>
</calcChain>
</file>

<file path=xl/sharedStrings.xml><?xml version="1.0" encoding="utf-8"?>
<sst xmlns="http://schemas.openxmlformats.org/spreadsheetml/2006/main" count="252" uniqueCount="172">
  <si>
    <r>
      <t xml:space="preserve">Tranches quotient RFR par part (en </t>
    </r>
    <r>
      <rPr>
        <b/>
        <sz val="12"/>
        <color rgb="FFFFFFFF"/>
        <rFont val="Alef"/>
      </rPr>
      <t>€)</t>
    </r>
  </si>
  <si>
    <t>Pour l’année</t>
  </si>
  <si>
    <t>0-1999.9</t>
  </si>
  <si>
    <t>2000-2999.9</t>
  </si>
  <si>
    <t>3000-3999.9</t>
  </si>
  <si>
    <t>4000-4999.9</t>
  </si>
  <si>
    <t>5000-5999.9</t>
  </si>
  <si>
    <t>6000-6999.9</t>
  </si>
  <si>
    <t>7000-7999.9</t>
  </si>
  <si>
    <t>8000-8999.9</t>
  </si>
  <si>
    <t>9000-9999.9</t>
  </si>
  <si>
    <t>10000-10999.9</t>
  </si>
  <si>
    <t>11000-11999.9</t>
  </si>
  <si>
    <t>12000-12999.9</t>
  </si>
  <si>
    <t>13000-13999.9</t>
  </si>
  <si>
    <t>14000-14999.9</t>
  </si>
  <si>
    <t>15000–15999.9</t>
  </si>
  <si>
    <t>16000-16999.9</t>
  </si>
  <si>
    <t>17000-17999.9</t>
  </si>
  <si>
    <t>18000-18999.9</t>
  </si>
  <si>
    <t>19000-19999.9</t>
  </si>
  <si>
    <t>20000-20999.9</t>
  </si>
  <si>
    <t>21000-21999.9</t>
  </si>
  <si>
    <t>22000-et au-delà</t>
  </si>
  <si>
    <t>Maternelle TPS/PS/MS</t>
  </si>
  <si>
    <t>Maternelle GS</t>
  </si>
  <si>
    <t>Elémentaire</t>
  </si>
  <si>
    <t>Collège</t>
  </si>
  <si>
    <t>quotient min</t>
  </si>
  <si>
    <t>Oui</t>
  </si>
  <si>
    <t>Non</t>
  </si>
  <si>
    <t>Cantine</t>
  </si>
  <si>
    <t>Frais pédagogiques</t>
  </si>
  <si>
    <t>Année scolaire</t>
  </si>
  <si>
    <t>3ème enfant</t>
  </si>
  <si>
    <t>4ème enfant</t>
  </si>
  <si>
    <t>2ème enfant</t>
  </si>
  <si>
    <t>Maternelle - TPS</t>
  </si>
  <si>
    <t>Maternelle - PS</t>
  </si>
  <si>
    <t>Maternelle - MS</t>
  </si>
  <si>
    <t>Maternelle - GS</t>
  </si>
  <si>
    <t>Elémentaire - CP</t>
  </si>
  <si>
    <t>Elémentaire - CE1</t>
  </si>
  <si>
    <t>Elémentaire - CE2</t>
  </si>
  <si>
    <t>Elémentaire - CM1</t>
  </si>
  <si>
    <t>Elémentaire - CM2</t>
  </si>
  <si>
    <t>Collège - 6e</t>
  </si>
  <si>
    <t>Collège - 5e</t>
  </si>
  <si>
    <t>Collège - 4e</t>
  </si>
  <si>
    <t>-</t>
  </si>
  <si>
    <t>Niveau de classe</t>
  </si>
  <si>
    <t>Choix</t>
  </si>
  <si>
    <t>Pique-nique</t>
  </si>
  <si>
    <t>Externe</t>
  </si>
  <si>
    <r>
      <rPr>
        <b/>
        <sz val="12"/>
        <color theme="0"/>
        <rFont val="Calibri"/>
        <family val="2"/>
        <scheme val="minor"/>
      </rPr>
      <t>Cantine</t>
    </r>
    <r>
      <rPr>
        <sz val="12"/>
        <color theme="0"/>
        <rFont val="Calibri"/>
        <family val="2"/>
        <scheme val="minor"/>
      </rPr>
      <t xml:space="preserve">
4 jours par semaine</t>
    </r>
  </si>
  <si>
    <t>Demi-pension</t>
  </si>
  <si>
    <t>Tarif journalier hors repas</t>
  </si>
  <si>
    <t>Quotient CAF</t>
  </si>
  <si>
    <t xml:space="preserve"> Mercredi (hors repas)</t>
  </si>
  <si>
    <t>Vacances (sans l'aide CAF) (hors repas)</t>
  </si>
  <si>
    <t>Vacances (aide déduite)</t>
  </si>
  <si>
    <t>(hors repas)</t>
  </si>
  <si>
    <t>&lt;300</t>
  </si>
  <si>
    <t>301-400</t>
  </si>
  <si>
    <t>401-600</t>
  </si>
  <si>
    <t>601-800</t>
  </si>
  <si>
    <t>801-1000</t>
  </si>
  <si>
    <t>1001-1500</t>
  </si>
  <si>
    <t>1501-2000</t>
  </si>
  <si>
    <t>&gt;2000</t>
  </si>
  <si>
    <t>Adhésion ANEN élève</t>
  </si>
  <si>
    <t>Scolarité</t>
  </si>
  <si>
    <t>Scolarité (80%)</t>
  </si>
  <si>
    <t>Scolarité (70%)</t>
  </si>
  <si>
    <t>Midi</t>
  </si>
  <si>
    <t>Matin + Midi</t>
  </si>
  <si>
    <t>Midi + Soir</t>
  </si>
  <si>
    <t>Matin + Midi + Soir</t>
  </si>
  <si>
    <t>ALAE</t>
  </si>
  <si>
    <r>
      <rPr>
        <b/>
        <sz val="12"/>
        <color theme="0"/>
        <rFont val="Calibri"/>
        <family val="2"/>
        <scheme val="minor"/>
      </rPr>
      <t>ALAE primaire</t>
    </r>
    <r>
      <rPr>
        <sz val="12"/>
        <color theme="0"/>
        <rFont val="Calibri"/>
        <family val="2"/>
        <scheme val="minor"/>
      </rPr>
      <t xml:space="preserve">
matin / midi / soir</t>
    </r>
  </si>
  <si>
    <t>1er enfant (+ agé-e)</t>
  </si>
  <si>
    <t>Vous êtes parent séparé de l'autre parent et vous partagez les frais et la garde du/des enfant(s) inscrit(s)</t>
  </si>
  <si>
    <t>Facultatif : vous souhaitez une adhésion à l'association AEN La Prairie pour chaque parent (si en couple)</t>
  </si>
  <si>
    <t>Adhésion AEN La Prairie facultative</t>
  </si>
  <si>
    <t>Adhésion AEN La Prairie obligatoire</t>
  </si>
  <si>
    <t xml:space="preserve">* En cas de famille recomposée, le foyer inclut les revenus et le nombre de parts du/de la concubin-e et son/ses enfant(s) éventuel(s). </t>
  </si>
  <si>
    <t>&lt;Classe à choisir&gt;</t>
  </si>
  <si>
    <t>Classes</t>
  </si>
  <si>
    <t>Vous êtes parent isolé (case T cochée dans votre déclaration de revenus)</t>
  </si>
  <si>
    <t>Par semestre</t>
  </si>
  <si>
    <t>Tarifs de scolarité 2025-2026 pour un enfant</t>
  </si>
  <si>
    <t>Frais pédagogiques 2025-2026</t>
  </si>
  <si>
    <t>Tarifs des séjours 2025-2026</t>
  </si>
  <si>
    <t>2 000 - 2 999</t>
  </si>
  <si>
    <t>3 000 - 3 999</t>
  </si>
  <si>
    <t>4 000 - 4 999</t>
  </si>
  <si>
    <t>5 000 - 5 999</t>
  </si>
  <si>
    <t>6 000 - 6 999</t>
  </si>
  <si>
    <t>7 000 - 7 999</t>
  </si>
  <si>
    <t>8 000 - 8 999</t>
  </si>
  <si>
    <t>9 000 - 9 999</t>
  </si>
  <si>
    <t>10 000 - 10 999</t>
  </si>
  <si>
    <t>11 000 - 11 999</t>
  </si>
  <si>
    <t>12 000 - 12 999</t>
  </si>
  <si>
    <t>13 000 - 13 999</t>
  </si>
  <si>
    <t>14 000 - 14 999</t>
  </si>
  <si>
    <t>15 000 - 15 999</t>
  </si>
  <si>
    <t>16 000 - 16 999</t>
  </si>
  <si>
    <t>17 000 - 17 999</t>
  </si>
  <si>
    <t>18 000 - 18 999</t>
  </si>
  <si>
    <t>19 000 - 19 999</t>
  </si>
  <si>
    <t>20 000 - 20 999</t>
  </si>
  <si>
    <t>21 000 - 21 999</t>
  </si>
  <si>
    <t>22 000 et au-delà</t>
  </si>
  <si>
    <t>Cout du repas maternelle</t>
  </si>
  <si>
    <t>Cout du repas élémentaire</t>
  </si>
  <si>
    <t>Cout du repas collège</t>
  </si>
  <si>
    <r>
      <t xml:space="preserve">0 </t>
    </r>
    <r>
      <rPr>
        <b/>
        <sz val="11"/>
        <color rgb="FFFFFFFF"/>
        <rFont val="Times New Roman"/>
        <family val="1"/>
      </rPr>
      <t xml:space="preserve">– 1 </t>
    </r>
    <r>
      <rPr>
        <b/>
        <sz val="11"/>
        <color rgb="FFFFFFFF"/>
        <rFont val="Alef"/>
      </rPr>
      <t>999</t>
    </r>
  </si>
  <si>
    <t>Tarifs ALAE annuels 2025-2026 par enfant</t>
  </si>
  <si>
    <t>RFR par part</t>
  </si>
  <si>
    <t>Matin
Midi</t>
  </si>
  <si>
    <t>Matin
Midi
Soir</t>
  </si>
  <si>
    <t>Midi
Soir</t>
  </si>
  <si>
    <t xml:space="preserve">Ces estimations sont données à titre indicatif et non contractuel. </t>
  </si>
  <si>
    <t>Avis d'impôt 2024 
sur les revenus 2023</t>
  </si>
  <si>
    <t>1er semestre</t>
  </si>
  <si>
    <t>sept-oct-nov-déc-janv</t>
  </si>
  <si>
    <t>2ème semestre</t>
  </si>
  <si>
    <t>fév-mars-avril-mai-juin</t>
  </si>
  <si>
    <t>2nd semestre</t>
  </si>
  <si>
    <t>Collège - 3e</t>
  </si>
  <si>
    <t>1er enfant</t>
  </si>
  <si>
    <t>2e enfant</t>
  </si>
  <si>
    <t>3e enfant</t>
  </si>
  <si>
    <t>4e enfant</t>
  </si>
  <si>
    <t>Quotient</t>
  </si>
  <si>
    <t>Parent isolé</t>
  </si>
  <si>
    <t>Parent séparé</t>
  </si>
  <si>
    <t>Cout indicatif maternelle par semestre</t>
  </si>
  <si>
    <t>Cout indicatif élémentaire par semestre</t>
  </si>
  <si>
    <t>Cout indicatif collège par semestre</t>
  </si>
  <si>
    <t>RFR par part fiscale</t>
  </si>
  <si>
    <r>
      <rPr>
        <b/>
        <sz val="12"/>
        <color theme="0"/>
        <rFont val="Calibri"/>
        <family val="2"/>
        <scheme val="minor"/>
      </rPr>
      <t xml:space="preserve">Niveau de classe
</t>
    </r>
    <r>
      <rPr>
        <sz val="12"/>
        <color theme="0"/>
        <rFont val="Calibri"/>
        <family val="2"/>
        <scheme val="minor"/>
      </rPr>
      <t>du + agé-e au + jeune</t>
    </r>
  </si>
  <si>
    <t>A partir des informations de votre foyer, …</t>
  </si>
  <si>
    <t>Pour toute question, merci de contacter le service de comptabilité : compta@ecolecollege-laprairie.fr</t>
  </si>
  <si>
    <t>Nombre de parts fiscales de votre foyer</t>
  </si>
  <si>
    <t>Voyage Collège 
(4e seulement)</t>
  </si>
  <si>
    <t>Classe découverte
Primaire (de MS à CM2)</t>
  </si>
  <si>
    <t>Séjour MS à CM2 ou 4e</t>
  </si>
  <si>
    <t>&gt;  ENFANTS A SCOLARISER</t>
  </si>
  <si>
    <t>&gt;  DONNEES DE VOS AVIS D'IMPÔT SUR LES REVENUS *</t>
  </si>
  <si>
    <t>Revenu Fiscal de Référence (RFR) de votre foyer</t>
  </si>
  <si>
    <t>Revenu Fiscal de Référence [RFR) par part fiscale, utilisé pour le 2nd semestre</t>
  </si>
  <si>
    <t>Revenu Fiscal de Référence (RFR) par part fiscale, utilisé pour le 1er semestre</t>
  </si>
  <si>
    <t>Pourcentage relatif à votre situation familiale, appliqué aux frais de scolarité</t>
  </si>
  <si>
    <t>… voici l'estimation des frais de scolarisation de vos enfants à La Prairie pour l'année scolaire 2025-2026.</t>
  </si>
  <si>
    <t>Montant des 10 mensualités</t>
  </si>
  <si>
    <t xml:space="preserve"> DETAILS DE L'ESTIMATION</t>
  </si>
  <si>
    <t>*** Les tarifs cantine donnés ici à titre indicatif sont calculés pour 4 jours par semaine au même régime toute l'année (demi-pension ou pique-nique). Dans le cas de combinaison de régimes différents dans la semaine, les frais seront adaptés. Ils ne peuvent pas être simulés par ce calculateur.</t>
  </si>
  <si>
    <t>&gt;  SITUATION FAMILIALE</t>
  </si>
  <si>
    <t xml:space="preserve"> SYNTHESE DES INFORMATIONS DE VOTRE FOYER</t>
  </si>
  <si>
    <t>** L'estimation totale des frais ne prend pas en compte les frais éventuels de centre de loisirs ALSH des mercredis après-midi et vacances scolaires qui dépendent du quotient CAF, les régularisations de repas, les achats de livres (hors manuels scolaires) pour les élèves du collège, ...</t>
  </si>
  <si>
    <t>Estimation totale**</t>
  </si>
  <si>
    <t xml:space="preserve"> ESTIMATION DES FRAIS DE SCOLARISATION POUR L'ANNEE 2025-2026</t>
  </si>
  <si>
    <t>Avis d'impôt 2025 
sur les revenus 2024
(estimé si pas encore reçu)</t>
  </si>
  <si>
    <t>22 000 - 23 999</t>
  </si>
  <si>
    <t>24 000 - 25 999</t>
  </si>
  <si>
    <t>26 000 - 27 999</t>
  </si>
  <si>
    <t>28 000 - 30 000</t>
  </si>
  <si>
    <t>38 001 et plus</t>
  </si>
  <si>
    <t>Inscrits ALAE</t>
  </si>
  <si>
    <t>Quotient ALAE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</si>
</sst>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lef"/>
    </font>
    <font>
      <b/>
      <sz val="12"/>
      <color rgb="FFFFFFFF"/>
      <name val="Alef"/>
    </font>
    <font>
      <b/>
      <sz val="11"/>
      <color rgb="FF000000"/>
      <name val="Alef"/>
    </font>
    <font>
      <sz val="12"/>
      <color rgb="FF000000"/>
      <name val="Alef"/>
    </font>
    <font>
      <sz val="11"/>
      <color rgb="FF000000"/>
      <name val="Alef"/>
    </font>
    <font>
      <b/>
      <sz val="11"/>
      <name val="Alef"/>
    </font>
    <font>
      <sz val="12"/>
      <color rgb="FFFFFFFF"/>
      <name val="Alef"/>
    </font>
    <font>
      <b/>
      <sz val="12"/>
      <color rgb="FF000000"/>
      <name val="Alef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lef"/>
    </font>
    <font>
      <b/>
      <sz val="11"/>
      <color rgb="FFFFFFFF"/>
      <name val="Times New Roman"/>
      <family val="1"/>
    </font>
    <font>
      <b/>
      <sz val="12"/>
      <color rgb="FFFFFFFF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theme="8" tint="-0.249977111117893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4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theme="8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 vertical="center" wrapText="1"/>
    </xf>
    <xf numFmtId="6" fontId="5" fillId="3" borderId="7" xfId="0" applyNumberFormat="1" applyFont="1" applyFill="1" applyBorder="1" applyAlignment="1">
      <alignment horizontal="center" vertical="center" wrapText="1"/>
    </xf>
    <xf numFmtId="8" fontId="5" fillId="4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6" fontId="6" fillId="3" borderId="8" xfId="0" applyNumberFormat="1" applyFont="1" applyFill="1" applyBorder="1" applyAlignment="1">
      <alignment horizontal="center" vertical="center" wrapText="1"/>
    </xf>
    <xf numFmtId="6" fontId="6" fillId="4" borderId="8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9" fillId="3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10" fillId="0" borderId="0" xfId="0" applyFont="1"/>
    <xf numFmtId="0" fontId="14" fillId="0" borderId="0" xfId="0" applyFont="1"/>
    <xf numFmtId="0" fontId="10" fillId="0" borderId="20" xfId="0" applyFont="1" applyBorder="1"/>
    <xf numFmtId="0" fontId="10" fillId="0" borderId="21" xfId="0" applyFont="1" applyBorder="1"/>
    <xf numFmtId="0" fontId="10" fillId="0" borderId="9" xfId="0" applyFont="1" applyBorder="1"/>
    <xf numFmtId="0" fontId="8" fillId="2" borderId="2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24" xfId="0" applyFont="1" applyBorder="1"/>
    <xf numFmtId="0" fontId="10" fillId="0" borderId="19" xfId="0" applyFont="1" applyBorder="1"/>
    <xf numFmtId="0" fontId="10" fillId="0" borderId="18" xfId="0" applyFont="1" applyBorder="1" applyAlignment="1" applyProtection="1">
      <alignment horizontal="center"/>
      <protection locked="0"/>
    </xf>
    <xf numFmtId="165" fontId="10" fillId="0" borderId="18" xfId="0" applyNumberFormat="1" applyFont="1" applyBorder="1" applyAlignment="1" applyProtection="1">
      <alignment horizontal="center"/>
      <protection locked="0"/>
    </xf>
    <xf numFmtId="2" fontId="10" fillId="0" borderId="18" xfId="0" applyNumberFormat="1" applyFont="1" applyBorder="1" applyAlignment="1" applyProtection="1">
      <alignment horizontal="center"/>
      <protection locked="0"/>
    </xf>
    <xf numFmtId="164" fontId="6" fillId="3" borderId="7" xfId="2" applyNumberFormat="1" applyFont="1" applyFill="1" applyBorder="1" applyAlignment="1">
      <alignment horizontal="center" vertical="center" wrapText="1"/>
    </xf>
    <xf numFmtId="164" fontId="6" fillId="4" borderId="7" xfId="2" applyNumberFormat="1" applyFont="1" applyFill="1" applyBorder="1" applyAlignment="1">
      <alignment horizontal="center" vertical="center" wrapText="1"/>
    </xf>
    <xf numFmtId="0" fontId="20" fillId="0" borderId="0" xfId="0" applyFont="1"/>
    <xf numFmtId="0" fontId="3" fillId="2" borderId="6" xfId="0" applyFont="1" applyFill="1" applyBorder="1" applyAlignment="1">
      <alignment horizontal="center" vertical="center" wrapText="1"/>
    </xf>
    <xf numFmtId="8" fontId="5" fillId="3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8" fontId="5" fillId="5" borderId="7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8" fontId="5" fillId="6" borderId="7" xfId="0" applyNumberFormat="1" applyFont="1" applyFill="1" applyBorder="1" applyAlignment="1">
      <alignment horizontal="center" vertical="center" wrapText="1"/>
    </xf>
    <xf numFmtId="164" fontId="7" fillId="6" borderId="7" xfId="0" applyNumberFormat="1" applyFont="1" applyFill="1" applyBorder="1" applyAlignment="1">
      <alignment horizontal="center" vertical="center" wrapText="1"/>
    </xf>
    <xf numFmtId="164" fontId="6" fillId="6" borderId="7" xfId="0" applyNumberFormat="1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64" fontId="22" fillId="5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wrapText="1"/>
    </xf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0" fillId="0" borderId="0" xfId="0" applyProtection="1"/>
    <xf numFmtId="0" fontId="27" fillId="0" borderId="0" xfId="0" applyFont="1" applyProtection="1"/>
    <xf numFmtId="0" fontId="14" fillId="0" borderId="0" xfId="0" applyFont="1" applyProtection="1"/>
    <xf numFmtId="0" fontId="19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left" wrapText="1"/>
    </xf>
    <xf numFmtId="0" fontId="16" fillId="23" borderId="12" xfId="0" applyFont="1" applyFill="1" applyBorder="1" applyAlignment="1" applyProtection="1">
      <alignment horizontal="right"/>
    </xf>
    <xf numFmtId="0" fontId="16" fillId="23" borderId="13" xfId="0" applyFont="1" applyFill="1" applyBorder="1" applyAlignment="1" applyProtection="1">
      <alignment horizontal="right"/>
    </xf>
    <xf numFmtId="0" fontId="15" fillId="23" borderId="0" xfId="0" applyFont="1" applyFill="1" applyAlignment="1" applyProtection="1">
      <alignment horizontal="right"/>
    </xf>
    <xf numFmtId="0" fontId="16" fillId="23" borderId="9" xfId="0" applyFont="1" applyFill="1" applyBorder="1" applyAlignment="1" applyProtection="1">
      <alignment horizontal="right"/>
    </xf>
    <xf numFmtId="0" fontId="10" fillId="21" borderId="0" xfId="0" applyFont="1" applyFill="1" applyAlignment="1" applyProtection="1">
      <alignment wrapText="1"/>
    </xf>
    <xf numFmtId="0" fontId="10" fillId="19" borderId="14" xfId="0" applyFont="1" applyFill="1" applyBorder="1" applyProtection="1"/>
    <xf numFmtId="164" fontId="10" fillId="20" borderId="0" xfId="0" applyNumberFormat="1" applyFont="1" applyFill="1" applyAlignment="1" applyProtection="1">
      <alignment horizontal="right"/>
    </xf>
    <xf numFmtId="164" fontId="10" fillId="19" borderId="9" xfId="0" applyNumberFormat="1" applyFont="1" applyFill="1" applyBorder="1" applyAlignment="1" applyProtection="1">
      <alignment horizontal="right"/>
    </xf>
    <xf numFmtId="0" fontId="10" fillId="19" borderId="15" xfId="0" applyFont="1" applyFill="1" applyBorder="1" applyProtection="1"/>
    <xf numFmtId="164" fontId="10" fillId="20" borderId="10" xfId="0" applyNumberFormat="1" applyFont="1" applyFill="1" applyBorder="1" applyAlignment="1" applyProtection="1">
      <alignment horizontal="right"/>
    </xf>
    <xf numFmtId="164" fontId="10" fillId="19" borderId="16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10" fillId="21" borderId="0" xfId="0" applyFont="1" applyFill="1" applyAlignment="1" applyProtection="1">
      <alignment horizontal="center" wrapText="1"/>
    </xf>
    <xf numFmtId="0" fontId="12" fillId="14" borderId="11" xfId="0" applyFont="1" applyFill="1" applyBorder="1" applyAlignment="1" applyProtection="1">
      <alignment horizontal="left"/>
    </xf>
    <xf numFmtId="0" fontId="13" fillId="14" borderId="12" xfId="0" applyFont="1" applyFill="1" applyBorder="1" applyAlignment="1" applyProtection="1">
      <alignment horizontal="right"/>
    </xf>
    <xf numFmtId="0" fontId="12" fillId="14" borderId="13" xfId="0" applyFont="1" applyFill="1" applyBorder="1" applyAlignment="1" applyProtection="1">
      <alignment horizontal="right"/>
    </xf>
    <xf numFmtId="0" fontId="10" fillId="11" borderId="14" xfId="0" applyFont="1" applyFill="1" applyBorder="1" applyProtection="1"/>
    <xf numFmtId="164" fontId="10" fillId="7" borderId="0" xfId="0" applyNumberFormat="1" applyFont="1" applyFill="1" applyAlignment="1" applyProtection="1">
      <alignment horizontal="right"/>
    </xf>
    <xf numFmtId="164" fontId="10" fillId="11" borderId="9" xfId="0" applyNumberFormat="1" applyFont="1" applyFill="1" applyBorder="1" applyAlignment="1" applyProtection="1">
      <alignment horizontal="right"/>
    </xf>
    <xf numFmtId="0" fontId="0" fillId="21" borderId="0" xfId="0" applyFill="1" applyAlignment="1" applyProtection="1">
      <alignment wrapText="1"/>
    </xf>
    <xf numFmtId="0" fontId="14" fillId="14" borderId="15" xfId="0" applyFont="1" applyFill="1" applyBorder="1" applyProtection="1"/>
    <xf numFmtId="164" fontId="14" fillId="14" borderId="10" xfId="0" applyNumberFormat="1" applyFont="1" applyFill="1" applyBorder="1" applyAlignment="1" applyProtection="1">
      <alignment horizontal="right"/>
    </xf>
    <xf numFmtId="164" fontId="14" fillId="14" borderId="16" xfId="0" applyNumberFormat="1" applyFont="1" applyFill="1" applyBorder="1" applyAlignment="1" applyProtection="1">
      <alignment horizontal="right"/>
    </xf>
    <xf numFmtId="164" fontId="14" fillId="0" borderId="0" xfId="0" applyNumberFormat="1" applyFont="1" applyAlignment="1" applyProtection="1">
      <alignment horizontal="center"/>
    </xf>
    <xf numFmtId="164" fontId="14" fillId="0" borderId="0" xfId="0" applyNumberFormat="1" applyFont="1" applyAlignment="1" applyProtection="1">
      <alignment horizontal="right"/>
    </xf>
    <xf numFmtId="0" fontId="12" fillId="15" borderId="11" xfId="0" applyFont="1" applyFill="1" applyBorder="1" applyAlignment="1" applyProtection="1">
      <alignment horizontal="left"/>
    </xf>
    <xf numFmtId="0" fontId="13" fillId="15" borderId="12" xfId="0" applyFont="1" applyFill="1" applyBorder="1" applyAlignment="1" applyProtection="1">
      <alignment horizontal="right"/>
    </xf>
    <xf numFmtId="0" fontId="12" fillId="15" borderId="13" xfId="0" applyFont="1" applyFill="1" applyBorder="1" applyAlignment="1" applyProtection="1">
      <alignment horizontal="right"/>
    </xf>
    <xf numFmtId="164" fontId="0" fillId="0" borderId="0" xfId="0" applyNumberFormat="1" applyProtection="1"/>
    <xf numFmtId="0" fontId="10" fillId="10" borderId="14" xfId="0" applyFont="1" applyFill="1" applyBorder="1" applyProtection="1"/>
    <xf numFmtId="164" fontId="10" fillId="9" borderId="0" xfId="0" applyNumberFormat="1" applyFont="1" applyFill="1" applyAlignment="1" applyProtection="1">
      <alignment horizontal="right"/>
    </xf>
    <xf numFmtId="164" fontId="10" fillId="10" borderId="9" xfId="0" applyNumberFormat="1" applyFont="1" applyFill="1" applyBorder="1" applyAlignment="1" applyProtection="1">
      <alignment horizontal="right"/>
    </xf>
    <xf numFmtId="0" fontId="19" fillId="0" borderId="0" xfId="0" applyFont="1" applyProtection="1"/>
    <xf numFmtId="0" fontId="12" fillId="15" borderId="15" xfId="0" applyFont="1" applyFill="1" applyBorder="1" applyProtection="1"/>
    <xf numFmtId="164" fontId="12" fillId="15" borderId="10" xfId="0" applyNumberFormat="1" applyFont="1" applyFill="1" applyBorder="1" applyAlignment="1" applyProtection="1">
      <alignment horizontal="right"/>
    </xf>
    <xf numFmtId="164" fontId="12" fillId="15" borderId="16" xfId="0" applyNumberFormat="1" applyFont="1" applyFill="1" applyBorder="1" applyAlignment="1" applyProtection="1">
      <alignment horizontal="right"/>
    </xf>
    <xf numFmtId="0" fontId="12" fillId="17" borderId="11" xfId="0" applyFont="1" applyFill="1" applyBorder="1" applyAlignment="1" applyProtection="1">
      <alignment horizontal="left"/>
    </xf>
    <xf numFmtId="0" fontId="13" fillId="17" borderId="12" xfId="0" applyFont="1" applyFill="1" applyBorder="1" applyAlignment="1" applyProtection="1">
      <alignment horizontal="right"/>
    </xf>
    <xf numFmtId="0" fontId="12" fillId="17" borderId="13" xfId="0" applyFont="1" applyFill="1" applyBorder="1" applyAlignment="1" applyProtection="1">
      <alignment horizontal="right"/>
    </xf>
    <xf numFmtId="0" fontId="10" fillId="12" borderId="14" xfId="0" applyFont="1" applyFill="1" applyBorder="1" applyProtection="1"/>
    <xf numFmtId="164" fontId="10" fillId="8" borderId="0" xfId="0" applyNumberFormat="1" applyFont="1" applyFill="1" applyAlignment="1" applyProtection="1">
      <alignment horizontal="right"/>
    </xf>
    <xf numFmtId="164" fontId="10" fillId="12" borderId="9" xfId="0" applyNumberFormat="1" applyFont="1" applyFill="1" applyBorder="1" applyAlignment="1" applyProtection="1">
      <alignment horizontal="right"/>
    </xf>
    <xf numFmtId="0" fontId="14" fillId="17" borderId="15" xfId="0" applyFont="1" applyFill="1" applyBorder="1" applyProtection="1"/>
    <xf numFmtId="164" fontId="14" fillId="17" borderId="10" xfId="0" applyNumberFormat="1" applyFont="1" applyFill="1" applyBorder="1" applyAlignment="1" applyProtection="1">
      <alignment horizontal="right"/>
    </xf>
    <xf numFmtId="164" fontId="14" fillId="17" borderId="16" xfId="0" applyNumberFormat="1" applyFont="1" applyFill="1" applyBorder="1" applyAlignment="1" applyProtection="1">
      <alignment horizontal="right"/>
    </xf>
    <xf numFmtId="0" fontId="12" fillId="16" borderId="11" xfId="0" applyFont="1" applyFill="1" applyBorder="1" applyAlignment="1" applyProtection="1">
      <alignment horizontal="left"/>
    </xf>
    <xf numFmtId="0" fontId="13" fillId="16" borderId="12" xfId="0" applyFont="1" applyFill="1" applyBorder="1" applyAlignment="1" applyProtection="1">
      <alignment horizontal="right"/>
    </xf>
    <xf numFmtId="0" fontId="12" fillId="16" borderId="13" xfId="0" applyFont="1" applyFill="1" applyBorder="1" applyAlignment="1" applyProtection="1">
      <alignment horizontal="right"/>
    </xf>
    <xf numFmtId="0" fontId="10" fillId="6" borderId="14" xfId="0" applyFont="1" applyFill="1" applyBorder="1" applyProtection="1"/>
    <xf numFmtId="164" fontId="10" fillId="5" borderId="0" xfId="0" applyNumberFormat="1" applyFont="1" applyFill="1" applyAlignment="1" applyProtection="1">
      <alignment horizontal="right"/>
    </xf>
    <xf numFmtId="164" fontId="10" fillId="6" borderId="9" xfId="0" applyNumberFormat="1" applyFont="1" applyFill="1" applyBorder="1" applyAlignment="1" applyProtection="1">
      <alignment horizontal="right"/>
    </xf>
    <xf numFmtId="0" fontId="14" fillId="16" borderId="15" xfId="0" applyFont="1" applyFill="1" applyBorder="1" applyProtection="1"/>
    <xf numFmtId="164" fontId="14" fillId="16" borderId="10" xfId="0" applyNumberFormat="1" applyFont="1" applyFill="1" applyBorder="1" applyAlignment="1" applyProtection="1">
      <alignment horizontal="right"/>
    </xf>
    <xf numFmtId="164" fontId="14" fillId="16" borderId="16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25" fillId="0" borderId="0" xfId="0" applyFont="1" applyAlignment="1" applyProtection="1">
      <alignment horizontal="left"/>
    </xf>
    <xf numFmtId="6" fontId="11" fillId="6" borderId="17" xfId="0" applyNumberFormat="1" applyFont="1" applyFill="1" applyBorder="1" applyAlignment="1" applyProtection="1">
      <alignment horizontal="center" vertical="center" wrapText="1"/>
    </xf>
    <xf numFmtId="6" fontId="11" fillId="12" borderId="17" xfId="0" applyNumberFormat="1" applyFont="1" applyFill="1" applyBorder="1" applyAlignment="1" applyProtection="1">
      <alignment horizontal="center" vertical="center" wrapText="1"/>
    </xf>
    <xf numFmtId="6" fontId="11" fillId="10" borderId="17" xfId="0" applyNumberFormat="1" applyFont="1" applyFill="1" applyBorder="1" applyAlignment="1" applyProtection="1">
      <alignment horizontal="center" vertical="center" wrapText="1"/>
    </xf>
    <xf numFmtId="6" fontId="11" fillId="11" borderId="15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/>
    <xf numFmtId="0" fontId="19" fillId="0" borderId="13" xfId="0" applyFont="1" applyBorder="1" applyAlignment="1" applyProtection="1">
      <alignment wrapText="1"/>
    </xf>
    <xf numFmtId="0" fontId="19" fillId="0" borderId="11" xfId="0" applyFont="1" applyBorder="1" applyAlignment="1" applyProtection="1">
      <alignment wrapText="1"/>
    </xf>
    <xf numFmtId="6" fontId="18" fillId="13" borderId="0" xfId="0" applyNumberFormat="1" applyFont="1" applyFill="1" applyAlignment="1" applyProtection="1">
      <alignment horizontal="left" vertical="center" wrapText="1"/>
    </xf>
    <xf numFmtId="6" fontId="15" fillId="13" borderId="0" xfId="0" applyNumberFormat="1" applyFont="1" applyFill="1" applyAlignment="1" applyProtection="1">
      <alignment horizontal="center" vertical="center" wrapText="1"/>
    </xf>
    <xf numFmtId="6" fontId="11" fillId="0" borderId="0" xfId="0" applyNumberFormat="1" applyFont="1" applyFill="1" applyAlignment="1" applyProtection="1">
      <alignment horizontal="left" vertical="center"/>
    </xf>
    <xf numFmtId="6" fontId="11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/>
    </xf>
    <xf numFmtId="0" fontId="24" fillId="13" borderId="0" xfId="0" applyFont="1" applyFill="1" applyAlignment="1" applyProtection="1">
      <alignment horizontal="center" vertical="center" wrapText="1"/>
    </xf>
    <xf numFmtId="6" fontId="11" fillId="18" borderId="0" xfId="0" applyNumberFormat="1" applyFont="1" applyFill="1" applyAlignment="1" applyProtection="1">
      <alignment horizontal="left" vertical="center"/>
    </xf>
    <xf numFmtId="6" fontId="11" fillId="18" borderId="0" xfId="0" applyNumberFormat="1" applyFont="1" applyFill="1" applyAlignment="1" applyProtection="1">
      <alignment horizontal="left" vertical="center" wrapText="1"/>
    </xf>
    <xf numFmtId="0" fontId="26" fillId="0" borderId="0" xfId="0" applyFont="1" applyProtection="1"/>
    <xf numFmtId="0" fontId="24" fillId="13" borderId="0" xfId="0" applyFont="1" applyFill="1" applyAlignment="1" applyProtection="1">
      <alignment vertical="center" wrapText="1"/>
    </xf>
    <xf numFmtId="0" fontId="29" fillId="24" borderId="14" xfId="0" applyFont="1" applyFill="1" applyBorder="1" applyAlignment="1" applyProtection="1">
      <alignment wrapText="1"/>
    </xf>
    <xf numFmtId="0" fontId="29" fillId="24" borderId="15" xfId="0" applyFont="1" applyFill="1" applyBorder="1" applyAlignment="1" applyProtection="1">
      <alignment wrapText="1"/>
    </xf>
    <xf numFmtId="0" fontId="12" fillId="18" borderId="0" xfId="0" applyFont="1" applyFill="1" applyBorder="1" applyProtection="1"/>
    <xf numFmtId="0" fontId="13" fillId="18" borderId="10" xfId="0" applyFont="1" applyFill="1" applyBorder="1" applyProtection="1"/>
    <xf numFmtId="164" fontId="12" fillId="18" borderId="9" xfId="0" applyNumberFormat="1" applyFont="1" applyFill="1" applyBorder="1" applyAlignment="1" applyProtection="1">
      <alignment horizontal="right"/>
    </xf>
    <xf numFmtId="0" fontId="13" fillId="18" borderId="16" xfId="0" applyFont="1" applyFill="1" applyBorder="1" applyAlignment="1" applyProtection="1">
      <alignment horizontal="right"/>
    </xf>
    <xf numFmtId="164" fontId="12" fillId="22" borderId="0" xfId="0" applyNumberFormat="1" applyFont="1" applyFill="1" applyBorder="1" applyAlignment="1" applyProtection="1">
      <alignment horizontal="right"/>
    </xf>
    <xf numFmtId="164" fontId="13" fillId="22" borderId="10" xfId="0" applyNumberFormat="1" applyFont="1" applyFill="1" applyBorder="1" applyAlignment="1" applyProtection="1">
      <alignment horizontal="right"/>
    </xf>
    <xf numFmtId="165" fontId="10" fillId="22" borderId="0" xfId="0" applyNumberFormat="1" applyFont="1" applyFill="1" applyAlignment="1" applyProtection="1">
      <alignment horizontal="right"/>
    </xf>
    <xf numFmtId="9" fontId="10" fillId="22" borderId="0" xfId="1" applyFont="1" applyFill="1" applyBorder="1" applyAlignment="1" applyProtection="1">
      <alignment horizontal="right"/>
    </xf>
    <xf numFmtId="0" fontId="16" fillId="25" borderId="12" xfId="0" applyFont="1" applyFill="1" applyBorder="1" applyAlignment="1" applyProtection="1">
      <alignment horizontal="right"/>
    </xf>
    <xf numFmtId="0" fontId="16" fillId="25" borderId="13" xfId="0" applyFont="1" applyFill="1" applyBorder="1" applyAlignment="1" applyProtection="1">
      <alignment horizontal="right"/>
    </xf>
    <xf numFmtId="0" fontId="15" fillId="25" borderId="0" xfId="0" applyFont="1" applyFill="1" applyBorder="1" applyAlignment="1" applyProtection="1">
      <alignment horizontal="right"/>
    </xf>
    <xf numFmtId="0" fontId="16" fillId="25" borderId="9" xfId="0" applyFont="1" applyFill="1" applyBorder="1" applyAlignment="1" applyProtection="1">
      <alignment horizontal="right"/>
    </xf>
    <xf numFmtId="0" fontId="12" fillId="0" borderId="0" xfId="0" applyFont="1" applyProtection="1"/>
    <xf numFmtId="0" fontId="13" fillId="0" borderId="0" xfId="0" applyFont="1" applyProtection="1"/>
    <xf numFmtId="0" fontId="30" fillId="0" borderId="0" xfId="0" applyFont="1" applyFill="1" applyProtection="1"/>
    <xf numFmtId="0" fontId="31" fillId="0" borderId="0" xfId="0" applyFont="1" applyFill="1" applyProtection="1"/>
    <xf numFmtId="0" fontId="28" fillId="0" borderId="0" xfId="0" applyFont="1" applyFill="1" applyProtection="1"/>
    <xf numFmtId="0" fontId="27" fillId="0" borderId="0" xfId="0" applyFont="1" applyFill="1" applyProtection="1"/>
    <xf numFmtId="6" fontId="11" fillId="18" borderId="0" xfId="0" applyNumberFormat="1" applyFont="1" applyFill="1" applyAlignment="1" applyProtection="1">
      <alignment horizontal="left" vertical="center" wrapText="1"/>
    </xf>
    <xf numFmtId="0" fontId="18" fillId="23" borderId="12" xfId="0" applyFont="1" applyFill="1" applyBorder="1" applyAlignment="1" applyProtection="1">
      <alignment horizontal="left" vertical="center"/>
    </xf>
    <xf numFmtId="0" fontId="18" fillId="23" borderId="0" xfId="0" applyFont="1" applyFill="1" applyAlignment="1" applyProtection="1">
      <alignment horizontal="left" vertical="center"/>
    </xf>
    <xf numFmtId="0" fontId="18" fillId="25" borderId="11" xfId="0" applyFont="1" applyFill="1" applyBorder="1" applyAlignment="1" applyProtection="1">
      <alignment horizontal="left" vertical="center"/>
    </xf>
    <xf numFmtId="0" fontId="18" fillId="25" borderId="12" xfId="0" applyFont="1" applyFill="1" applyBorder="1" applyAlignment="1" applyProtection="1">
      <alignment horizontal="left" vertical="center"/>
    </xf>
    <xf numFmtId="0" fontId="18" fillId="25" borderId="14" xfId="0" applyFont="1" applyFill="1" applyBorder="1" applyAlignment="1" applyProtection="1">
      <alignment horizontal="left" vertical="center"/>
    </xf>
    <xf numFmtId="0" fontId="18" fillId="25" borderId="0" xfId="0" applyFont="1" applyFill="1" applyBorder="1" applyAlignment="1" applyProtection="1">
      <alignment horizontal="left" vertical="center"/>
    </xf>
    <xf numFmtId="0" fontId="19" fillId="0" borderId="12" xfId="0" applyFont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 wrapText="1"/>
    </xf>
    <xf numFmtId="0" fontId="17" fillId="13" borderId="0" xfId="0" applyFont="1" applyFill="1" applyAlignment="1" applyProtection="1">
      <alignment horizontal="left" vertical="center" wrapText="1"/>
    </xf>
    <xf numFmtId="6" fontId="11" fillId="18" borderId="0" xfId="0" applyNumberFormat="1" applyFont="1" applyFill="1" applyAlignment="1" applyProtection="1">
      <alignment horizontal="center" vertical="center" wrapText="1"/>
    </xf>
    <xf numFmtId="6" fontId="11" fillId="18" borderId="22" xfId="0" applyNumberFormat="1" applyFont="1" applyFill="1" applyBorder="1" applyAlignment="1" applyProtection="1">
      <alignment horizontal="center" vertical="center" wrapText="1"/>
    </xf>
    <xf numFmtId="0" fontId="17" fillId="25" borderId="0" xfId="0" applyFont="1" applyFill="1" applyAlignment="1" applyProtection="1">
      <alignment horizontal="left" vertical="center" wrapText="1"/>
    </xf>
    <xf numFmtId="6" fontId="11" fillId="18" borderId="22" xfId="0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0" fillId="0" borderId="14" xfId="0" applyFont="1" applyBorder="1"/>
    <xf numFmtId="0" fontId="10" fillId="0" borderId="15" xfId="0" applyFont="1" applyBorder="1"/>
  </cellXfs>
  <cellStyles count="3">
    <cellStyle name="Monétaire" xfId="2" builtinId="4"/>
    <cellStyle name="Normal" xfId="0" builtinId="0"/>
    <cellStyle name="Pourcentage" xfId="1" builtinId="5"/>
  </cellStyles>
  <dxfs count="13">
    <dxf>
      <font>
        <b val="0"/>
        <i val="0"/>
      </font>
      <fill>
        <patternFill>
          <bgColor theme="4" tint="0.79998168889431442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8" tint="0.79998168889431442"/>
        </patternFill>
      </fill>
    </dxf>
    <dxf>
      <font>
        <b val="0"/>
        <i val="0"/>
      </font>
      <fill>
        <patternFill>
          <bgColor theme="4" tint="0.79998168889431442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font>
        <b val="0"/>
        <i val="0"/>
      </font>
      <fill>
        <patternFill>
          <bgColor theme="4" tint="0.79998168889431442"/>
        </patternFill>
      </fill>
    </dxf>
    <dxf>
      <font>
        <b val="0"/>
        <i val="0"/>
      </font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75"/>
  <sheetViews>
    <sheetView tabSelected="1" workbookViewId="0">
      <selection activeCell="E8" sqref="E8"/>
    </sheetView>
  </sheetViews>
  <sheetFormatPr baseColWidth="10" defaultColWidth="9.140625" defaultRowHeight="15.75" x14ac:dyDescent="0.25"/>
  <cols>
    <col min="1" max="1" width="30.42578125" style="101" customWidth="1"/>
    <col min="2" max="2" width="45.42578125" style="42" customWidth="1"/>
    <col min="3" max="3" width="25.7109375" style="58" customWidth="1"/>
    <col min="4" max="4" width="27" style="42" customWidth="1"/>
    <col min="5" max="5" width="22.7109375" style="41" customWidth="1"/>
    <col min="6" max="6" width="10.28515625" style="42" bestFit="1" customWidth="1"/>
    <col min="7" max="16384" width="9.140625" style="42"/>
  </cols>
  <sheetData>
    <row r="1" spans="1:9" ht="26.25" x14ac:dyDescent="0.4">
      <c r="A1" s="136" t="s">
        <v>143</v>
      </c>
      <c r="B1" s="137"/>
      <c r="C1" s="118"/>
      <c r="D1" s="118"/>
      <c r="E1" s="118"/>
      <c r="F1" s="118"/>
      <c r="G1" s="118"/>
      <c r="H1" s="118"/>
      <c r="I1" s="118"/>
    </row>
    <row r="2" spans="1:9" ht="15.75" customHeight="1" x14ac:dyDescent="0.3">
      <c r="A2" s="38"/>
      <c r="B2" s="39"/>
      <c r="C2" s="40"/>
      <c r="D2" s="39"/>
      <c r="F2" s="39"/>
    </row>
    <row r="3" spans="1:9" ht="18.600000000000001" thickBot="1" x14ac:dyDescent="0.35">
      <c r="A3" s="149" t="s">
        <v>159</v>
      </c>
      <c r="B3" s="149"/>
      <c r="C3" s="149"/>
      <c r="D3" s="119"/>
      <c r="F3" s="39"/>
    </row>
    <row r="4" spans="1:9" ht="15.75" customHeight="1" thickTop="1" thickBot="1" x14ac:dyDescent="0.3">
      <c r="A4" s="140" t="s">
        <v>88</v>
      </c>
      <c r="B4" s="140"/>
      <c r="C4" s="153"/>
      <c r="D4" s="21" t="s">
        <v>30</v>
      </c>
      <c r="F4" s="39"/>
    </row>
    <row r="5" spans="1:9" ht="17.25" thickTop="1" thickBot="1" x14ac:dyDescent="0.3">
      <c r="A5" s="140" t="s">
        <v>81</v>
      </c>
      <c r="B5" s="140"/>
      <c r="C5" s="153"/>
      <c r="D5" s="21" t="s">
        <v>30</v>
      </c>
      <c r="F5" s="39"/>
      <c r="G5" s="39"/>
    </row>
    <row r="6" spans="1:9" ht="17.25" thickTop="1" thickBot="1" x14ac:dyDescent="0.3">
      <c r="A6" s="116" t="s">
        <v>82</v>
      </c>
      <c r="B6" s="117"/>
      <c r="C6" s="117"/>
      <c r="D6" s="21" t="s">
        <v>30</v>
      </c>
      <c r="F6" s="39"/>
      <c r="G6" s="39"/>
    </row>
    <row r="7" spans="1:9" ht="16.149999999999999" thickTop="1" x14ac:dyDescent="0.3">
      <c r="A7" s="112"/>
      <c r="B7" s="113"/>
      <c r="C7" s="113"/>
      <c r="D7" s="114"/>
      <c r="F7" s="39"/>
      <c r="G7" s="39"/>
    </row>
    <row r="8" spans="1:9" ht="63.75" thickBot="1" x14ac:dyDescent="0.3">
      <c r="A8" s="149" t="s">
        <v>150</v>
      </c>
      <c r="B8" s="149"/>
      <c r="C8" s="115" t="s">
        <v>124</v>
      </c>
      <c r="D8" s="115" t="s">
        <v>164</v>
      </c>
      <c r="F8" s="39"/>
      <c r="G8" s="39"/>
    </row>
    <row r="9" spans="1:9" ht="16.899999999999999" customHeight="1" thickTop="1" thickBot="1" x14ac:dyDescent="0.3">
      <c r="A9" s="150" t="s">
        <v>151</v>
      </c>
      <c r="B9" s="151"/>
      <c r="C9" s="22">
        <v>30000</v>
      </c>
      <c r="D9" s="22">
        <v>35000</v>
      </c>
      <c r="F9" s="39"/>
      <c r="G9" s="39"/>
    </row>
    <row r="10" spans="1:9" ht="16.899999999999999" customHeight="1" thickTop="1" thickBot="1" x14ac:dyDescent="0.35">
      <c r="A10" s="150" t="s">
        <v>145</v>
      </c>
      <c r="B10" s="151"/>
      <c r="C10" s="23">
        <v>3</v>
      </c>
      <c r="D10" s="23">
        <v>3</v>
      </c>
      <c r="F10" s="39"/>
      <c r="G10" s="39"/>
    </row>
    <row r="11" spans="1:9" ht="16.149999999999999" customHeight="1" thickTop="1" x14ac:dyDescent="0.25">
      <c r="A11" s="107" t="s">
        <v>85</v>
      </c>
      <c r="B11" s="45"/>
      <c r="C11" s="108"/>
      <c r="D11" s="109"/>
      <c r="E11" s="45"/>
      <c r="F11" s="45"/>
      <c r="G11" s="39"/>
    </row>
    <row r="12" spans="1:9" ht="16.149999999999999" customHeight="1" x14ac:dyDescent="0.3">
      <c r="A12" s="107"/>
      <c r="B12" s="45"/>
      <c r="C12" s="45"/>
      <c r="D12" s="45"/>
      <c r="E12" s="45"/>
      <c r="F12" s="45"/>
      <c r="G12" s="39"/>
    </row>
    <row r="13" spans="1:9" ht="38.25" thickBot="1" x14ac:dyDescent="0.3">
      <c r="A13" s="110" t="s">
        <v>149</v>
      </c>
      <c r="B13" s="111" t="s">
        <v>142</v>
      </c>
      <c r="C13" s="111" t="s">
        <v>54</v>
      </c>
      <c r="D13" s="111" t="s">
        <v>79</v>
      </c>
      <c r="F13" s="39"/>
      <c r="G13" s="39"/>
    </row>
    <row r="14" spans="1:9" ht="16.899999999999999" customHeight="1" thickTop="1" thickBot="1" x14ac:dyDescent="0.3">
      <c r="A14" s="106" t="s">
        <v>80</v>
      </c>
      <c r="B14" s="21" t="s">
        <v>47</v>
      </c>
      <c r="C14" s="21" t="s">
        <v>55</v>
      </c>
      <c r="D14" s="21" t="s">
        <v>30</v>
      </c>
      <c r="E14" s="102" t="str">
        <f>IF(AND(LEFT($B14,1)="C",$D14&lt;&gt;"Non"),"/!\ L'ALAE primaire n'accueille pas les collégien-nes. Merci de renseigner une classe maternelle ou élémentaire, ou ""Non"" dans la case ALAE primaire.",
IF(AND(OR(LEFT($B14,1)="M",LEFT($B14,1)="E"),ISNUMBER(SEARCH("Midi",$D14))=FALSE,$C14&lt;&gt;"Externe"),"/!\ Si votre enfant mange à la cantine ou prend un pique-nique, vous devez obligatoirement l'inscrire à l'ALAE de midi.",""))</f>
        <v/>
      </c>
      <c r="F14" s="39"/>
      <c r="G14" s="39"/>
    </row>
    <row r="15" spans="1:9" ht="17.25" thickTop="1" thickBot="1" x14ac:dyDescent="0.3">
      <c r="A15" s="105" t="s">
        <v>36</v>
      </c>
      <c r="B15" s="21" t="s">
        <v>43</v>
      </c>
      <c r="C15" s="21" t="s">
        <v>55</v>
      </c>
      <c r="D15" s="21" t="s">
        <v>77</v>
      </c>
      <c r="E15" s="102" t="str">
        <f t="shared" ref="E15:E17" si="0">IF(AND(LEFT($B15,1)="C",$D15&lt;&gt;"Non"),"/!\ L'ALAE primaire n'accueille pas les collégien-nes. Merci de renseigner une classe maternelle ou élémentaire, ou ""Non"" dans la case ALAE primaire.",
IF(AND(OR(LEFT($B15,1)="M",LEFT($B15,1)="E"),ISNUMBER(SEARCH("Midi",$D15))=FALSE,$C15&lt;&gt;"Externe"),"/!\ Si votre enfant mange à la cantine ou prend un pique-nique, vous devez obligatoirement l'inscrire à l'ALAE de midi.",""))</f>
        <v/>
      </c>
      <c r="F15" s="39"/>
      <c r="G15" s="39"/>
    </row>
    <row r="16" spans="1:9" ht="17.25" thickTop="1" thickBot="1" x14ac:dyDescent="0.3">
      <c r="A16" s="104" t="s">
        <v>34</v>
      </c>
      <c r="B16" s="21" t="s">
        <v>40</v>
      </c>
      <c r="C16" s="21" t="s">
        <v>52</v>
      </c>
      <c r="D16" s="21" t="s">
        <v>74</v>
      </c>
      <c r="E16" s="102" t="str">
        <f t="shared" si="0"/>
        <v/>
      </c>
      <c r="F16" s="39"/>
      <c r="G16" s="39"/>
    </row>
    <row r="17" spans="1:13" ht="17.25" thickTop="1" thickBot="1" x14ac:dyDescent="0.3">
      <c r="A17" s="103" t="s">
        <v>35</v>
      </c>
      <c r="B17" s="21" t="s">
        <v>86</v>
      </c>
      <c r="C17" s="21" t="s">
        <v>53</v>
      </c>
      <c r="D17" s="21" t="s">
        <v>30</v>
      </c>
      <c r="E17" s="102" t="str">
        <f t="shared" si="0"/>
        <v/>
      </c>
      <c r="F17" s="39"/>
      <c r="G17" s="39"/>
    </row>
    <row r="18" spans="1:13" ht="18.75" customHeight="1" thickTop="1" x14ac:dyDescent="0.3">
      <c r="A18" s="38"/>
      <c r="B18" s="39"/>
      <c r="C18" s="40"/>
      <c r="D18" s="39"/>
      <c r="F18" s="39"/>
      <c r="G18" s="39"/>
    </row>
    <row r="19" spans="1:13" ht="15.6" customHeight="1" x14ac:dyDescent="0.3">
      <c r="A19" s="152" t="s">
        <v>160</v>
      </c>
      <c r="B19" s="152"/>
      <c r="C19" s="152"/>
      <c r="D19" s="40"/>
      <c r="F19" s="39"/>
      <c r="G19" s="39"/>
    </row>
    <row r="20" spans="1:13" ht="15.6" customHeight="1" x14ac:dyDescent="0.25">
      <c r="A20" s="140" t="s">
        <v>153</v>
      </c>
      <c r="B20" s="140"/>
      <c r="C20" s="128">
        <f>C9/C10</f>
        <v>10000</v>
      </c>
      <c r="F20" s="39"/>
      <c r="G20" s="39"/>
    </row>
    <row r="21" spans="1:13" ht="15.6" customHeight="1" x14ac:dyDescent="0.25">
      <c r="A21" s="140" t="s">
        <v>152</v>
      </c>
      <c r="B21" s="140"/>
      <c r="C21" s="128">
        <f>D9/D10</f>
        <v>11666.666666666666</v>
      </c>
      <c r="F21" s="39"/>
      <c r="G21" s="39"/>
    </row>
    <row r="22" spans="1:13" x14ac:dyDescent="0.25">
      <c r="A22" s="140" t="s">
        <v>154</v>
      </c>
      <c r="B22" s="140"/>
      <c r="C22" s="129">
        <f>IF(AND(D4="Oui",D5="Oui"),0.45,IF(D4="Oui",0.9,IF(D5="Oui",0.5,1)))</f>
        <v>1</v>
      </c>
      <c r="F22" s="39"/>
      <c r="G22" s="39"/>
    </row>
    <row r="23" spans="1:13" ht="18" x14ac:dyDescent="0.35">
      <c r="A23" s="38"/>
      <c r="B23" s="39"/>
      <c r="C23" s="40"/>
      <c r="D23" s="39"/>
      <c r="F23" s="39"/>
      <c r="G23" s="43"/>
      <c r="H23" s="43"/>
      <c r="I23" s="43"/>
    </row>
    <row r="24" spans="1:13" ht="26.25" x14ac:dyDescent="0.4">
      <c r="A24" s="136" t="s">
        <v>155</v>
      </c>
      <c r="B24" s="138"/>
      <c r="C24" s="138"/>
      <c r="D24" s="138"/>
      <c r="E24" s="138"/>
      <c r="F24" s="139"/>
      <c r="G24" s="39"/>
    </row>
    <row r="25" spans="1:13" x14ac:dyDescent="0.25">
      <c r="A25" s="134" t="s">
        <v>123</v>
      </c>
      <c r="C25" s="42"/>
      <c r="E25" s="42"/>
      <c r="G25" s="39"/>
    </row>
    <row r="26" spans="1:13" x14ac:dyDescent="0.25">
      <c r="A26" s="135" t="s">
        <v>144</v>
      </c>
      <c r="C26" s="42"/>
      <c r="E26" s="42"/>
      <c r="G26" s="39"/>
    </row>
    <row r="27" spans="1:13" ht="15.6" x14ac:dyDescent="0.3">
      <c r="A27" s="38"/>
      <c r="B27" s="39"/>
      <c r="C27" s="40"/>
      <c r="D27" s="39"/>
      <c r="F27" s="39"/>
      <c r="G27" s="39"/>
    </row>
    <row r="28" spans="1:13" x14ac:dyDescent="0.25">
      <c r="A28" s="143" t="s">
        <v>163</v>
      </c>
      <c r="B28" s="144"/>
      <c r="C28" s="130" t="s">
        <v>125</v>
      </c>
      <c r="D28" s="130" t="s">
        <v>129</v>
      </c>
      <c r="E28" s="131" t="s">
        <v>33</v>
      </c>
      <c r="F28" s="39"/>
      <c r="G28" s="39"/>
    </row>
    <row r="29" spans="1:13" x14ac:dyDescent="0.25">
      <c r="A29" s="145"/>
      <c r="B29" s="146"/>
      <c r="C29" s="132" t="s">
        <v>126</v>
      </c>
      <c r="D29" s="132" t="s">
        <v>128</v>
      </c>
      <c r="E29" s="133"/>
      <c r="F29" s="39"/>
      <c r="G29" s="39"/>
    </row>
    <row r="30" spans="1:13" ht="18" x14ac:dyDescent="0.35">
      <c r="A30" s="120"/>
      <c r="B30" s="122" t="s">
        <v>162</v>
      </c>
      <c r="C30" s="126">
        <f>C46+C55+C64+C73+SUM(C36:C37)</f>
        <v>2488.5299999999997</v>
      </c>
      <c r="D30" s="126">
        <f>D46+D55+D64+D73+SUM(D36:D37)</f>
        <v>2649.81</v>
      </c>
      <c r="E30" s="124">
        <f>E46+E55+E64+E73+SUM(E36:E37)</f>
        <v>5138.34</v>
      </c>
      <c r="F30" s="39"/>
      <c r="G30" s="39"/>
    </row>
    <row r="31" spans="1:13" ht="18.75" x14ac:dyDescent="0.3">
      <c r="A31" s="121"/>
      <c r="B31" s="123" t="s">
        <v>156</v>
      </c>
      <c r="C31" s="127">
        <f>C30/5</f>
        <v>497.70599999999996</v>
      </c>
      <c r="D31" s="127">
        <f>D30/5</f>
        <v>529.96199999999999</v>
      </c>
      <c r="E31" s="125"/>
      <c r="F31" s="39"/>
      <c r="G31" s="39"/>
    </row>
    <row r="32" spans="1:13" ht="31.15" customHeight="1" x14ac:dyDescent="0.25">
      <c r="A32" s="147" t="s">
        <v>161</v>
      </c>
      <c r="B32" s="147"/>
      <c r="C32" s="147"/>
      <c r="D32" s="147"/>
      <c r="E32" s="147"/>
      <c r="F32" s="45"/>
      <c r="G32" s="38"/>
      <c r="H32" s="39"/>
      <c r="I32" s="40"/>
      <c r="J32" s="39"/>
      <c r="K32" s="41"/>
      <c r="L32" s="39"/>
      <c r="M32" s="39"/>
    </row>
    <row r="33" spans="1:13" ht="15.6" customHeight="1" x14ac:dyDescent="0.3">
      <c r="A33" s="46"/>
      <c r="B33" s="46"/>
      <c r="C33" s="46"/>
      <c r="D33" s="46"/>
      <c r="E33" s="46"/>
      <c r="F33" s="46"/>
      <c r="G33" s="38"/>
      <c r="H33" s="39"/>
      <c r="I33" s="40"/>
      <c r="J33" s="39"/>
      <c r="K33" s="41"/>
      <c r="L33" s="39"/>
      <c r="M33" s="39"/>
    </row>
    <row r="34" spans="1:13" ht="15.6" customHeight="1" x14ac:dyDescent="0.25">
      <c r="A34" s="141" t="s">
        <v>157</v>
      </c>
      <c r="B34" s="141"/>
      <c r="C34" s="47" t="s">
        <v>125</v>
      </c>
      <c r="D34" s="47" t="s">
        <v>127</v>
      </c>
      <c r="E34" s="48" t="s">
        <v>33</v>
      </c>
      <c r="F34" s="39"/>
      <c r="G34" s="39"/>
    </row>
    <row r="35" spans="1:13" x14ac:dyDescent="0.25">
      <c r="A35" s="142"/>
      <c r="B35" s="142"/>
      <c r="C35" s="49" t="s">
        <v>126</v>
      </c>
      <c r="D35" s="49" t="s">
        <v>128</v>
      </c>
      <c r="E35" s="50"/>
      <c r="F35" s="39"/>
      <c r="G35" s="39"/>
    </row>
    <row r="36" spans="1:13" x14ac:dyDescent="0.25">
      <c r="A36" s="51"/>
      <c r="B36" s="52" t="s">
        <v>84</v>
      </c>
      <c r="C36" s="53">
        <v>15</v>
      </c>
      <c r="D36" s="53" t="s">
        <v>49</v>
      </c>
      <c r="E36" s="54">
        <f>SUM(C36:D36)</f>
        <v>15</v>
      </c>
      <c r="F36" s="39"/>
      <c r="G36" s="39"/>
    </row>
    <row r="37" spans="1:13" x14ac:dyDescent="0.25">
      <c r="A37" s="51"/>
      <c r="B37" s="55" t="s">
        <v>83</v>
      </c>
      <c r="C37" s="56" t="str">
        <f>IF(AND(D4="Non",D5="Non",D6="Oui"),15,"-")</f>
        <v>-</v>
      </c>
      <c r="D37" s="56" t="s">
        <v>49</v>
      </c>
      <c r="E37" s="57">
        <f>SUM(C37:D37)</f>
        <v>0</v>
      </c>
      <c r="F37" s="39"/>
      <c r="G37" s="39"/>
    </row>
    <row r="38" spans="1:13" s="58" customFormat="1" x14ac:dyDescent="0.25">
      <c r="A38" s="51"/>
      <c r="B38" s="39"/>
      <c r="C38" s="40"/>
      <c r="D38" s="39"/>
      <c r="E38" s="41"/>
      <c r="F38" s="39"/>
      <c r="G38" s="40"/>
    </row>
    <row r="39" spans="1:13" x14ac:dyDescent="0.25">
      <c r="A39" s="59"/>
      <c r="B39" s="60" t="str">
        <f>CONCATENATE("1er enfant : ",$B$14)</f>
        <v>1er enfant : Collège - 5e</v>
      </c>
      <c r="C39" s="61" t="s">
        <v>125</v>
      </c>
      <c r="D39" s="61" t="s">
        <v>127</v>
      </c>
      <c r="E39" s="62" t="s">
        <v>33</v>
      </c>
      <c r="F39" s="40"/>
      <c r="G39" s="39"/>
    </row>
    <row r="40" spans="1:13" x14ac:dyDescent="0.25">
      <c r="A40" s="51"/>
      <c r="B40" s="63" t="s">
        <v>71</v>
      </c>
      <c r="C40" s="64">
        <f>IF(Config!$G$2=FALSE,"-",VLOOKUP($C$20,Scolarité!$A$1:$D$24,4,TRUE)*Config!$G$8*Config!$G$9)</f>
        <v>587.5</v>
      </c>
      <c r="D40" s="64">
        <f>IF(Config!$G$2=FALSE,"-",VLOOKUP($C$21,Scolarité!$A$1:$D$24,4,TRUE)*Config!$G$8*Config!$G$9)</f>
        <v>642.5</v>
      </c>
      <c r="E40" s="65">
        <f t="shared" ref="E40:E45" si="1">SUM(C40:D40)</f>
        <v>1230</v>
      </c>
      <c r="F40" s="39"/>
      <c r="G40" s="39"/>
    </row>
    <row r="41" spans="1:13" x14ac:dyDescent="0.25">
      <c r="A41" s="51"/>
      <c r="B41" s="63" t="s">
        <v>32</v>
      </c>
      <c r="C41" s="64">
        <f>IF(Config!$G$2=FALSE,"-",
IF(LEFT($B$14,1)="C",Pédagogique!$C$6*Config!$G$9,
IF(LEFT($B$14,1)="E",Pédagogique!$C$5*Config!$G$9,
IF($B$14="Maternelle - GS",Pédagogique!$C$4*Config!$G$9,
Pédagogique!$C$3*Config!$G$9))))</f>
        <v>24</v>
      </c>
      <c r="D41" s="64">
        <f>IF(Config!$G$2=FALSE,"-",
IF(LEFT($B$14,1)="C",Pédagogique!$C$6*Config!$G$9,
IF(LEFT($B$14,1)="E",Pédagogique!$C$5*Config!$G$9,
IF($B$14="Maternelle - GS",Pédagogique!$C$4*Config!$G$9,
Pédagogique!$C$3*Config!$G$9))))</f>
        <v>24</v>
      </c>
      <c r="E41" s="65">
        <f t="shared" si="1"/>
        <v>48</v>
      </c>
      <c r="F41" s="39"/>
      <c r="G41" s="39"/>
    </row>
    <row r="42" spans="1:13" x14ac:dyDescent="0.25">
      <c r="A42" s="51"/>
      <c r="B42" s="63" t="s">
        <v>148</v>
      </c>
      <c r="C42" s="64" t="str">
        <f>IF(OR(RIGHT($B$14,2)="MS",RIGHT($B$14,2)="GS",LEFT($B$14,1)="E"),Séjour!$C$3*Config!$G$9,
IF($B$14="Collège - 4e",Séjour!$C$4*Config!$G$9,"-"))</f>
        <v>-</v>
      </c>
      <c r="D42" s="64" t="str">
        <f>IF(OR(RIGHT($B$14,2)="MS",RIGHT($B$14,2)="GS",LEFT($B$14,1)="E"),Séjour!$C$3*Config!$G$9,
IF($B$14="Collège - 4e",Séjour!$C$4*Config!$G$9,"-"))</f>
        <v>-</v>
      </c>
      <c r="E42" s="65">
        <f t="shared" si="1"/>
        <v>0</v>
      </c>
      <c r="F42" s="39"/>
    </row>
    <row r="43" spans="1:13" x14ac:dyDescent="0.25">
      <c r="A43" s="51"/>
      <c r="B43" s="63" t="str">
        <f>CONCATENATE("Cantine*** : ",$C$14)</f>
        <v>Cantine*** : Demi-pension</v>
      </c>
      <c r="C43" s="64">
        <f>IF($C$14="Demi-pension",
IF(LEFT($B$14,1)="M",VLOOKUP($C$20,Cantine!$A$2:$H$23,4,TRUE)*Config!$G$9,
IF(LEFT($B$14,1)="E",VLOOKUP($C$20,Cantine!$A$2:$H$23,6,TRUE)*Config!$G$9,
IF(LEFT($B$14,1)="C",VLOOKUP($C$20,Cantine!$A$2:$H$23,8,TRUE)*Config!$G$9,"-"))),
IF(AND($C$14="Pique-nique",Config!$G$2=TRUE),Cantine!$D$24*Config!$G$9,"-"))</f>
        <v>294</v>
      </c>
      <c r="D43" s="64">
        <f>IF($C$14="Demi-pension",
IF(LEFT($B$14,1)="M",VLOOKUP($C$21,Cantine!$A$2:$H$23,4,TRUE)*Config!$G$9,
IF(LEFT($B$14,1)="E",VLOOKUP($C$21,Cantine!$A$2:$H$23,6,TRUE)*Config!$G$9,
IF(LEFT($B$14,1)="C",VLOOKUP($C$21,Cantine!$A$2:$H$23,8,TRUE)*Config!$G$9,"-"))),
IF(AND($C$14="Pique-nique",Config!$G$2=TRUE),Cantine!$D$24*Config!$G$9,"-"))</f>
        <v>315</v>
      </c>
      <c r="E43" s="65">
        <f t="shared" si="1"/>
        <v>609</v>
      </c>
    </row>
    <row r="44" spans="1:13" x14ac:dyDescent="0.25">
      <c r="A44" s="66"/>
      <c r="B44" s="63" t="str">
        <f>CONCATENATE("ALAE primaire : ",$D$14)</f>
        <v>ALAE primaire : Non</v>
      </c>
      <c r="C44" s="64" t="str">
        <f>IF(OR(LEFT($B$14,1)="M",LEFT($B$14,1)="E"),
IF($D$14=Config!$D$3,VLOOKUP($C$20,'ALAE primaire'!$A$3:$J$28,4,TRUE)*Config!$G$9*Config!$I$2,
IF($D$14=Config!$D$4,VLOOKUP($C$20,'ALAE primaire'!$A$3:$J$28,6,TRUE)*Config!$G$9*Config!$I$2,
IF($D$14=Config!$D$5,VLOOKUP($C$20,'ALAE primaire'!$A$3:$J$28,8,TRUE)*Config!$G$9*Config!$I$2,
IF($D$14=Config!$D$6,VLOOKUP($C$20,'ALAE primaire'!$A$3:$J$28,10,TRUE)*Config!$G$9*Config!$I$2,
"-")))),"-")</f>
        <v>-</v>
      </c>
      <c r="D44" s="64" t="str">
        <f>IF(OR(LEFT($B$14,1)="M",LEFT($B$14,1)="E"),
IF($D$14=Config!$D$3,VLOOKUP($C$21,'ALAE primaire'!$A$3:$J$28,4,TRUE)*Config!$G$9*Config!$I$2,
IF($D$14=Config!$D$4,VLOOKUP($C$21,'ALAE primaire'!$A$3:$J$28,6,TRUE)*Config!$G$9*Config!$I$2,
IF($D$14=Config!$D$5,VLOOKUP($C$21,'ALAE primaire'!$A$3:$J$28,8,TRUE)*Config!$G$9*Config!$I$2,
IF($D$14=Config!$D$6,VLOOKUP($C$21,'ALAE primaire'!$A$3:$J$28,10,TRUE)*Config!$G$9*Config!$I$2,
"-")))),"-")</f>
        <v>-</v>
      </c>
      <c r="E44" s="65">
        <f t="shared" si="1"/>
        <v>0</v>
      </c>
    </row>
    <row r="45" spans="1:13" x14ac:dyDescent="0.25">
      <c r="A45" s="66"/>
      <c r="B45" s="63" t="s">
        <v>70</v>
      </c>
      <c r="C45" s="64">
        <f>IF(Config!$G$2=FALSE,"-",5*Config!$G$9)</f>
        <v>5</v>
      </c>
      <c r="D45" s="64" t="s">
        <v>49</v>
      </c>
      <c r="E45" s="65">
        <f t="shared" si="1"/>
        <v>5</v>
      </c>
    </row>
    <row r="46" spans="1:13" x14ac:dyDescent="0.25">
      <c r="A46" s="66"/>
      <c r="B46" s="67"/>
      <c r="C46" s="68">
        <f>SUM(C40:C45)</f>
        <v>910.5</v>
      </c>
      <c r="D46" s="68">
        <f>SUM(D40:D45)</f>
        <v>981.5</v>
      </c>
      <c r="E46" s="69">
        <f>SUM(E40:E45)</f>
        <v>1892</v>
      </c>
    </row>
    <row r="47" spans="1:13" x14ac:dyDescent="0.25">
      <c r="A47" s="66"/>
      <c r="B47" s="44"/>
      <c r="C47" s="70"/>
      <c r="D47" s="70"/>
      <c r="E47" s="71"/>
    </row>
    <row r="48" spans="1:13" x14ac:dyDescent="0.25">
      <c r="A48" s="66"/>
      <c r="B48" s="72" t="str">
        <f>CONCATENATE("2ème enfant : ",$B$15)</f>
        <v>2ème enfant : Elémentaire - CE2</v>
      </c>
      <c r="C48" s="73" t="s">
        <v>125</v>
      </c>
      <c r="D48" s="73" t="s">
        <v>127</v>
      </c>
      <c r="E48" s="74" t="s">
        <v>33</v>
      </c>
      <c r="G48" s="75"/>
    </row>
    <row r="49" spans="1:6" x14ac:dyDescent="0.25">
      <c r="A49" s="66"/>
      <c r="B49" s="76" t="s">
        <v>72</v>
      </c>
      <c r="C49" s="77">
        <f>IF(Config!$G$3=FALSE,"-",VLOOKUP($C$20,Scolarité!$A$1:$D$24,4,TRUE)*Config!$G$8*Config!$G$9*0.8)</f>
        <v>470</v>
      </c>
      <c r="D49" s="77">
        <f>IF(Config!$G$3=FALSE,"-",VLOOKUP($C$21,Scolarité!$A$1:$D$24,4,TRUE)*Config!$G$8*Config!$G$9*0.8)</f>
        <v>514</v>
      </c>
      <c r="E49" s="78">
        <f>SUM(C49:D49)</f>
        <v>984</v>
      </c>
    </row>
    <row r="50" spans="1:6" x14ac:dyDescent="0.25">
      <c r="A50" s="66"/>
      <c r="B50" s="76" t="s">
        <v>32</v>
      </c>
      <c r="C50" s="77">
        <f>IF(Config!$G$3=FALSE,"-",
IF(LEFT($B$15,1)="C",Pédagogique!$C$6*Config!$G$9,
IF(LEFT($B$15,1)="E",Pédagogique!$C$5*Config!$G$9,
IF($B$15="Maternelle - GS",Pédagogique!$C$4*Config!$G$9,
Pédagogique!$C$3*Config!$G$9))))</f>
        <v>24</v>
      </c>
      <c r="D50" s="77">
        <f>IF(Config!$G$3=FALSE,"-",
IF(LEFT($B$15,1)="C",Pédagogique!$C$6*Config!$G$9,
IF(LEFT($B$15,1)="E",Pédagogique!$C$5*Config!$G$9,
IF($B$15="Maternelle - GS",Pédagogique!$C$4*Config!$G$9,
Pédagogique!$C$3*Config!$G$9))))</f>
        <v>24</v>
      </c>
      <c r="E50" s="78">
        <f>SUM(C50:D50)</f>
        <v>48</v>
      </c>
    </row>
    <row r="51" spans="1:6" x14ac:dyDescent="0.25">
      <c r="A51" s="66"/>
      <c r="B51" s="76" t="s">
        <v>148</v>
      </c>
      <c r="C51" s="77">
        <f>IF(OR(RIGHT($B$15,2)="MS",RIGHT($B$15,2)="GS",LEFT($B$15,1)="E"),Séjour!$C$3*Config!$G$9,
IF($B$15="Collège - 4e",Séjour!$C$4*Config!$G$9,"-"))</f>
        <v>85</v>
      </c>
      <c r="D51" s="77">
        <f>IF(OR(RIGHT($B$15,2)="MS",RIGHT($B$15,2)="GS",LEFT($B$15,1)="E"),Séjour!$C$3*Config!$G$9,
IF($B$15="Collège - 4e",Séjour!$C$4*Config!$G$9,"-"))</f>
        <v>85</v>
      </c>
      <c r="E51" s="78">
        <f>SUM(C51:D51)</f>
        <v>170</v>
      </c>
    </row>
    <row r="52" spans="1:6" x14ac:dyDescent="0.25">
      <c r="A52" s="66"/>
      <c r="B52" s="76" t="str">
        <f>CONCATENATE("Cantine*** : ",$C$15)</f>
        <v>Cantine*** : Demi-pension</v>
      </c>
      <c r="C52" s="77">
        <f>IF($C$15="Demi-pension",
IF(LEFT($B$15,1)="M",VLOOKUP($C$20,Cantine!$A$2:$H$23,4,TRUE)*Config!$G$9,
IF(LEFT($B$15,1)="E",VLOOKUP($C$20,Cantine!$A$2:$H$23,6,TRUE)*Config!$G$9,
IF(LEFT($B$15,1)="C",VLOOKUP($C$20,Cantine!$A$2:$H$23,8,TRUE)*Config!$G$9,"-"))),
IF(AND($C$15="Pique-nique",Config!$G$3=TRUE),Cantine!$D$24*Config!$G$9,"-"))</f>
        <v>266</v>
      </c>
      <c r="D52" s="77">
        <f>IF($C$15="Demi-pension",
IF(LEFT($B$15,1)="M",VLOOKUP($C$21,Cantine!$A$2:$H$23,4,TRUE)*Config!$G$9,
IF(LEFT($B$15,1)="E",VLOOKUP($C$21,Cantine!$A$2:$H$23,6,TRUE)*Config!$G$9,
IF(LEFT($B$15,1)="C",VLOOKUP($C$21,Cantine!$A$2:$H$23,8,TRUE)*Config!$G$9,"-"))),
IF(AND($C$15="Pique-nique",Config!$G$3=TRUE),Cantine!$D$24*Config!$G$9,"-"))</f>
        <v>287</v>
      </c>
      <c r="E52" s="78">
        <f t="shared" ref="E52:E54" si="2">SUM(C52:D52)</f>
        <v>553</v>
      </c>
      <c r="F52" s="79"/>
    </row>
    <row r="53" spans="1:6" x14ac:dyDescent="0.25">
      <c r="A53" s="66"/>
      <c r="B53" s="76" t="str">
        <f>CONCATENATE("ALAE primaire : ",$D$15)</f>
        <v>ALAE primaire : Matin + Midi + Soir</v>
      </c>
      <c r="C53" s="77">
        <f>IF(OR(LEFT($B$15,1)="M",LEFT($B$15,1)="E"),
IF($D$15=Config!$D$3,VLOOKUP($C$20,'ALAE primaire'!$A$3:$J$28,4,TRUE)*Config!$G$9*Config!$I$3,
IF($D$15=Config!$D$4,VLOOKUP($C$20,'ALAE primaire'!$A$3:$J$28,6,TRUE)*Config!$G$9*Config!$I$3,
IF($D$15=Config!$D$5,VLOOKUP($C$20,'ALAE primaire'!$A$3:$J$28,8,TRUE)*Config!$G$9*Config!$I$3,
IF($D$15=Config!$D$6,VLOOKUP($C$20,'ALAE primaire'!$A$3:$J$28,10,TRUE)*Config!$G$9*Config!$I$3,
"-")))),"-")</f>
        <v>134.5</v>
      </c>
      <c r="D53" s="77">
        <f>IF(OR(LEFT($B$15,1)="M",LEFT($B$15,1)="E"),
IF($D$15=Config!$D$3,VLOOKUP($C$21,'ALAE primaire'!$A$3:$J$28,4,TRUE)*Config!$G$9*Config!$I$3,
IF($D$15=Config!$D$4,VLOOKUP($C$21,'ALAE primaire'!$A$3:$J$28,6,TRUE)*Config!$G$9*Config!$I$3,
IF($D$15=Config!$D$5,VLOOKUP($C$21,'ALAE primaire'!$A$3:$J$28,8,TRUE)*Config!$G$9*Config!$I$3,
IF($D$15=Config!$D$6,VLOOKUP($C$21,'ALAE primaire'!$A$3:$J$28,10,TRUE)*Config!$G$9*Config!$I$3,
"-")))),"-")</f>
        <v>144</v>
      </c>
      <c r="E53" s="78">
        <f t="shared" si="2"/>
        <v>278.5</v>
      </c>
      <c r="F53" s="79"/>
    </row>
    <row r="54" spans="1:6" x14ac:dyDescent="0.25">
      <c r="A54" s="66"/>
      <c r="B54" s="76" t="s">
        <v>70</v>
      </c>
      <c r="C54" s="77">
        <f>IF(Config!$G$3=FALSE,"-",5*Config!$G$9)</f>
        <v>5</v>
      </c>
      <c r="D54" s="77" t="s">
        <v>49</v>
      </c>
      <c r="E54" s="78">
        <f t="shared" si="2"/>
        <v>5</v>
      </c>
    </row>
    <row r="55" spans="1:6" x14ac:dyDescent="0.25">
      <c r="A55" s="66"/>
      <c r="B55" s="80"/>
      <c r="C55" s="81">
        <f>SUM(C49:C54)</f>
        <v>984.5</v>
      </c>
      <c r="D55" s="81">
        <f>SUM(D49:D54)</f>
        <v>1054</v>
      </c>
      <c r="E55" s="82">
        <f>SUM(E49:E54)</f>
        <v>2038.5</v>
      </c>
    </row>
    <row r="56" spans="1:6" x14ac:dyDescent="0.25">
      <c r="A56" s="66"/>
      <c r="B56" s="44"/>
      <c r="C56" s="71"/>
      <c r="D56" s="71"/>
      <c r="E56" s="71"/>
    </row>
    <row r="57" spans="1:6" x14ac:dyDescent="0.25">
      <c r="A57" s="66"/>
      <c r="B57" s="83" t="str">
        <f>CONCATENATE("3ème enfant : ",$B$16)</f>
        <v>3ème enfant : Maternelle - GS</v>
      </c>
      <c r="C57" s="84" t="s">
        <v>125</v>
      </c>
      <c r="D57" s="84" t="s">
        <v>127</v>
      </c>
      <c r="E57" s="85" t="s">
        <v>33</v>
      </c>
    </row>
    <row r="58" spans="1:6" x14ac:dyDescent="0.25">
      <c r="A58" s="66"/>
      <c r="B58" s="86" t="s">
        <v>73</v>
      </c>
      <c r="C58" s="87">
        <f>IF(Config!$G$4=FALSE,"-",VLOOKUP($C$20,Scolarité!$A$1:$D$24,4,TRUE)*Config!$G$8*Config!$G$9*0.7)</f>
        <v>411.25</v>
      </c>
      <c r="D58" s="87">
        <f>IF(Config!$G$4=FALSE,"-",VLOOKUP($C$21,Scolarité!$A$1:$D$24,4,TRUE)*Config!$G$8*Config!$G$9*0.7)</f>
        <v>449.74999999999994</v>
      </c>
      <c r="E58" s="88">
        <f t="shared" ref="E58:E63" si="3">SUM(C58:D58)</f>
        <v>861</v>
      </c>
    </row>
    <row r="59" spans="1:6" x14ac:dyDescent="0.25">
      <c r="A59" s="66"/>
      <c r="B59" s="86" t="s">
        <v>32</v>
      </c>
      <c r="C59" s="87">
        <f>IF(Config!$G$4=FALSE,"-",
IF(LEFT($B$16,1)="C",Pédagogique!$C$6*Config!$G$9,
IF(LEFT($B$16,1)="E",Pédagogique!$C$5*Config!$G$9,
IF($B$16="Maternelle - GS",Pédagogique!$C$4*Config!$G$9,
Pédagogique!$C$3*Config!$G$9))))</f>
        <v>24</v>
      </c>
      <c r="D59" s="87">
        <f>IF(Config!$G$4=FALSE,"-",
IF(LEFT($B$16,1)="C",Pédagogique!$C$6*Config!$G$9,
IF(LEFT($B$16,1)="E",Pédagogique!$C$5*Config!$G$9,
IF($B$16="Maternelle - GS",Pédagogique!$C$4*Config!$G$9,
Pédagogique!$C$3*Config!$G$9))))</f>
        <v>24</v>
      </c>
      <c r="E59" s="88">
        <f t="shared" si="3"/>
        <v>48</v>
      </c>
    </row>
    <row r="60" spans="1:6" x14ac:dyDescent="0.25">
      <c r="A60" s="66"/>
      <c r="B60" s="86" t="s">
        <v>148</v>
      </c>
      <c r="C60" s="87">
        <f>IF(OR(RIGHT($B$16,2)="MS",RIGHT($B$16,2)="GS",LEFT($B$16,1)="E"),Séjour!$C$3*Config!$G$9,
IF($B$16="Collège - 4e",Séjour!$C$4*Config!$G$9,"-"))</f>
        <v>85</v>
      </c>
      <c r="D60" s="87">
        <f>IF(OR(RIGHT($B$16,2)="MS",RIGHT($B$16,2)="GS",LEFT($B$16,1)="E"),Séjour!$C$3*Config!$G$9,
IF($B$16="Collège - 4e",Séjour!$C$4*Config!$G$9,"-"))</f>
        <v>85</v>
      </c>
      <c r="E60" s="88">
        <f t="shared" si="3"/>
        <v>170</v>
      </c>
    </row>
    <row r="61" spans="1:6" x14ac:dyDescent="0.25">
      <c r="A61" s="66"/>
      <c r="B61" s="86" t="str">
        <f>CONCATENATE("Cantine*** : ",$C$16)</f>
        <v>Cantine*** : Pique-nique</v>
      </c>
      <c r="C61" s="87">
        <f>IF($C$16="Demi-pension",
IF(LEFT($B$16,1)="M",VLOOKUP($C$20,Cantine!$A$2:$H$23,4,TRUE)*Config!$G$9,
IF(LEFT($B$16,1)="E",VLOOKUP($C$20,Cantine!$A$2:$H$23,6,TRUE)*Config!$G$9,
IF(LEFT($B$16,1)="C",VLOOKUP($C$20,Cantine!$A$2:$H$23,8,TRUE)*Config!$G$9,"-"))),
IF(AND($C$16="Pique-nique",Config!$G$4=TRUE),Cantine!$D$24*Config!$G$9,"-"))</f>
        <v>21</v>
      </c>
      <c r="D61" s="87">
        <f>IF($C$16="Demi-pension",
IF(LEFT($B$16,1)="M",VLOOKUP($C$21,Cantine!$A$2:$H$23,4,TRUE)*Config!$G$9,
IF(LEFT($B$16,1)="E",VLOOKUP($C$21,Cantine!$A$2:$H$23,6,TRUE)*Config!$G$9,
IF(LEFT($B$16,1)="C",VLOOKUP($C$21,Cantine!$A$2:$H$23,8,TRUE)*Config!$G$9,"-"))),
IF(AND($C$16="Pique-nique",Config!$G$4=TRUE),Cantine!$D$24*Config!$G$9,"-"))</f>
        <v>21</v>
      </c>
      <c r="E61" s="88">
        <f t="shared" si="3"/>
        <v>42</v>
      </c>
      <c r="F61" s="79"/>
    </row>
    <row r="62" spans="1:6" x14ac:dyDescent="0.25">
      <c r="A62" s="66"/>
      <c r="B62" s="86" t="str">
        <f>CONCATENATE("ALAE primaire : ",$D$16)</f>
        <v>ALAE primaire : Midi</v>
      </c>
      <c r="C62" s="87">
        <f>IF(OR(LEFT($B$16,1)="M",LEFT($B$16,1)="E"),
IF($D$16=Config!$D$3,VLOOKUP($C$20,'ALAE primaire'!$A$3:$J$28,4,TRUE)*Config!$G$9*Config!$I$4,
IF($D$16=Config!$D$4,VLOOKUP($C$20,'ALAE primaire'!$A$3:$J$28,6,TRUE)*Config!$G$9*Config!$I$4,
IF($D$16=Config!$D$5,VLOOKUP($C$20,'ALAE primaire'!$A$3:$J$28,8,TRUE)*Config!$G$9*Config!$I$4,
IF($D$16=Config!$D$6,VLOOKUP($C$20,'ALAE primaire'!$A$3:$J$28,10,TRUE)*Config!$G$9*Config!$I$4,
"-")))),"-")</f>
        <v>32.28</v>
      </c>
      <c r="D62" s="87">
        <f>IF(OR(LEFT($B$16,1)="M",LEFT($B$16,1)="E"),
IF($D$16=Config!$D$3,VLOOKUP($C$21,'ALAE primaire'!$A$3:$J$28,4,TRUE)*Config!$G$9*Config!$I$4,
IF($D$16=Config!$D$4,VLOOKUP($C$21,'ALAE primaire'!$A$3:$J$28,6,TRUE)*Config!$G$9*Config!$I$4,
IF($D$16=Config!$D$5,VLOOKUP($C$21,'ALAE primaire'!$A$3:$J$28,8,TRUE)*Config!$G$9*Config!$I$4,
IF($D$16=Config!$D$6,VLOOKUP($C$21,'ALAE primaire'!$A$3:$J$28,10,TRUE)*Config!$G$9*Config!$I$4,
"-")))),"-")</f>
        <v>34.559999999999995</v>
      </c>
      <c r="E62" s="88">
        <f t="shared" si="3"/>
        <v>66.84</v>
      </c>
      <c r="F62" s="79"/>
    </row>
    <row r="63" spans="1:6" x14ac:dyDescent="0.25">
      <c r="A63" s="66"/>
      <c r="B63" s="86" t="s">
        <v>70</v>
      </c>
      <c r="C63" s="87">
        <f>IF(Config!$G$4=FALSE,"-",5*Config!$G$9)</f>
        <v>5</v>
      </c>
      <c r="D63" s="87" t="s">
        <v>49</v>
      </c>
      <c r="E63" s="88">
        <f t="shared" si="3"/>
        <v>5</v>
      </c>
    </row>
    <row r="64" spans="1:6" x14ac:dyDescent="0.25">
      <c r="A64" s="66"/>
      <c r="B64" s="89"/>
      <c r="C64" s="90">
        <f>SUM(C58:C63)</f>
        <v>578.53</v>
      </c>
      <c r="D64" s="90">
        <f t="shared" ref="D64" si="4">SUM(D58:D63)</f>
        <v>614.30999999999995</v>
      </c>
      <c r="E64" s="91">
        <f>SUM(E58:E63)</f>
        <v>1192.8399999999999</v>
      </c>
    </row>
    <row r="65" spans="1:6" x14ac:dyDescent="0.25">
      <c r="A65" s="66"/>
      <c r="B65" s="44"/>
      <c r="C65" s="71"/>
      <c r="D65" s="71"/>
      <c r="E65" s="71"/>
    </row>
    <row r="66" spans="1:6" x14ac:dyDescent="0.25">
      <c r="A66" s="66"/>
      <c r="B66" s="92" t="str">
        <f>CONCATENATE("4ème enfant : ",$B$17)</f>
        <v>4ème enfant : &lt;Classe à choisir&gt;</v>
      </c>
      <c r="C66" s="93" t="s">
        <v>125</v>
      </c>
      <c r="D66" s="93" t="s">
        <v>127</v>
      </c>
      <c r="E66" s="94" t="s">
        <v>33</v>
      </c>
    </row>
    <row r="67" spans="1:6" x14ac:dyDescent="0.25">
      <c r="A67" s="66"/>
      <c r="B67" s="95" t="s">
        <v>73</v>
      </c>
      <c r="C67" s="96" t="str">
        <f>IF(Config!$G$5=FALSE,"-",VLOOKUP($C$20,Scolarité!$A$1:$D$24,4,TRUE)*Config!$G$8*Config!$G$9*0.7)</f>
        <v>-</v>
      </c>
      <c r="D67" s="96" t="str">
        <f>IF(Config!$G$5=FALSE,"-",VLOOKUP($C$21,Scolarité!$A$1:$D$24,4,TRUE)*Config!$G$8*Config!$G$9*0.7)</f>
        <v>-</v>
      </c>
      <c r="E67" s="97">
        <f t="shared" ref="E67:E72" si="5">SUM(C67:D67)</f>
        <v>0</v>
      </c>
    </row>
    <row r="68" spans="1:6" x14ac:dyDescent="0.25">
      <c r="A68" s="66"/>
      <c r="B68" s="95" t="s">
        <v>32</v>
      </c>
      <c r="C68" s="96" t="str">
        <f>IF(Config!$G$5=FALSE,"-",
IF(LEFT($B$17,1)="C",Pédagogique!$C$6*Config!$G$9,
IF(LEFT($B$17,1)="E",Pédagogique!$C$5*Config!$G$9,
IF($B$17="Maternelle - GS",Pédagogique!$C$4*Config!$G$9,
Pédagogique!$C$3*Config!$G$9))))</f>
        <v>-</v>
      </c>
      <c r="D68" s="96" t="str">
        <f>IF(Config!$G$5=FALSE,"-",
IF(LEFT($B$17,1)="C",Pédagogique!$C$6*Config!$G$9,
IF(LEFT($B$17,1)="E",Pédagogique!$C$5*Config!$G$9,
IF($B$17="Maternelle - GS",Pédagogique!$C$4*Config!$G$9,
Pédagogique!$C$3*Config!$G$9))))</f>
        <v>-</v>
      </c>
      <c r="E68" s="97">
        <f t="shared" si="5"/>
        <v>0</v>
      </c>
    </row>
    <row r="69" spans="1:6" x14ac:dyDescent="0.25">
      <c r="A69" s="66"/>
      <c r="B69" s="95" t="s">
        <v>148</v>
      </c>
      <c r="C69" s="96" t="str">
        <f>IF(OR(RIGHT($B$17,2)="MS",RIGHT($B$17,2)="GS",LEFT($B$17,1)="E"),Séjour!$C$3*Config!$G$9,
IF($B$17="Collège - 4e",Séjour!$C$4*Config!$G$9,"-"))</f>
        <v>-</v>
      </c>
      <c r="D69" s="96" t="str">
        <f>IF(OR(RIGHT($B$17,2)="MS",RIGHT($B$17,2)="GS",LEFT($B$17,1)="E"),Séjour!$C$3*Config!$G$9,
IF($B$17="Collège - 4e",Séjour!$C$4*Config!$G$9,"-"))</f>
        <v>-</v>
      </c>
      <c r="E69" s="97">
        <f t="shared" si="5"/>
        <v>0</v>
      </c>
    </row>
    <row r="70" spans="1:6" x14ac:dyDescent="0.25">
      <c r="A70" s="66"/>
      <c r="B70" s="95" t="str">
        <f>CONCATENATE("Cantine*** : ",$C$17)</f>
        <v>Cantine*** : Externe</v>
      </c>
      <c r="C70" s="96" t="str">
        <f>IF($C$17="Demi-pension",
IF(LEFT($B$17,1)="M",VLOOKUP($C$20,Cantine!$A$2:$H$23,4,TRUE)*Config!$G$9,
IF(LEFT($B$17,1)="E",VLOOKUP($C$20,Cantine!$A$2:$H$23,6,TRUE)*Config!$G$9,
IF(LEFT($B$17,1)="C",VLOOKUP($C$20,Cantine!$A$2:$H$23,8,TRUE)*Config!$G$9,"-"))),
IF(AND($C$17="Pique-nique",Config!$G$5=TRUE),Cantine!$D$24*Config!$G$9,"-"))</f>
        <v>-</v>
      </c>
      <c r="D70" s="96" t="str">
        <f>IF($C$17="Demi-pension",
IF(LEFT($B$17,1)="M",VLOOKUP($C$21,Cantine!$A$2:$H$23,4,TRUE)*Config!$G$9,
IF(LEFT($B$17,1)="E",VLOOKUP($C$21,Cantine!$A$2:$H$23,6,TRUE)*Config!$G$9,
IF(LEFT($B$17,1)="C",VLOOKUP($C$21,Cantine!$A$2:$H$23,8,TRUE)*Config!$G$9,"-"))),
IF(AND($C$17="Pique-nique",Config!$G$5=TRUE),Cantine!$D$24*Config!$G$9,"-"))</f>
        <v>-</v>
      </c>
      <c r="E70" s="97">
        <f t="shared" si="5"/>
        <v>0</v>
      </c>
      <c r="F70" s="79"/>
    </row>
    <row r="71" spans="1:6" x14ac:dyDescent="0.25">
      <c r="A71" s="66"/>
      <c r="B71" s="95" t="str">
        <f>CONCATENATE("ALAE primaire : ",$D$17)</f>
        <v>ALAE primaire : Non</v>
      </c>
      <c r="C71" s="96" t="str">
        <f>IF(OR(LEFT($B$17,1)="M",LEFT($B$17,1)="E"),
IF($D$17=Config!$D$3,VLOOKUP($C$20,'ALAE primaire'!$A$3:$J$24,4,TRUE)*Config!$G$9*Config!$I$5,
IF($D$17=Config!$D$4,VLOOKUP($C$20,'ALAE primaire'!$A$3:$J$24,6,TRUE)*Config!$G$9*Config!$I$5,
IF($D$17=Config!$D$5,VLOOKUP($C$20,'ALAE primaire'!$A$3:$J$24,8,TRUE)*Config!$G$9*Config!$I$5,
IF($D$17=Config!$D$6,VLOOKUP($C$20,'ALAE primaire'!$A$3:$J$24,10,TRUE)*Config!$G$9*Config!$I$5,
"-")))),"-")</f>
        <v>-</v>
      </c>
      <c r="D71" s="96" t="str">
        <f>IF(OR(LEFT($B$17,1)="M",LEFT($B$17,1)="E"),
IF($D$17=Config!$D$3,VLOOKUP($C$21,'ALAE primaire'!$A$3:$J$24,4,TRUE)*Config!$G$9*Config!$I$5,
IF($D$17=Config!$D$4,VLOOKUP($C$21,'ALAE primaire'!$A$3:$J$24,6,TRUE)*Config!$G$9*Config!$I$5,
IF($D$17=Config!$D$5,VLOOKUP($C$21,'ALAE primaire'!$A$3:$J$24,8,TRUE)*Config!$G$9*Config!$I$5,
IF($D$17=Config!$D$6,VLOOKUP($C$21,'ALAE primaire'!$A$3:$J$24,10,TRUE)*Config!$G$9*Config!$I$5,
"-")))),"-")</f>
        <v>-</v>
      </c>
      <c r="E71" s="97">
        <f t="shared" si="5"/>
        <v>0</v>
      </c>
      <c r="F71" s="79"/>
    </row>
    <row r="72" spans="1:6" x14ac:dyDescent="0.25">
      <c r="A72" s="66"/>
      <c r="B72" s="95" t="s">
        <v>70</v>
      </c>
      <c r="C72" s="96" t="str">
        <f>IF(Config!$G$5=FALSE,"-",5*Config!$G$9)</f>
        <v>-</v>
      </c>
      <c r="D72" s="96" t="s">
        <v>49</v>
      </c>
      <c r="E72" s="97">
        <f t="shared" si="5"/>
        <v>0</v>
      </c>
    </row>
    <row r="73" spans="1:6" x14ac:dyDescent="0.25">
      <c r="A73" s="66"/>
      <c r="B73" s="98"/>
      <c r="C73" s="99">
        <f>SUM(C67:C72)</f>
        <v>0</v>
      </c>
      <c r="D73" s="99">
        <f t="shared" ref="D73" si="6">SUM(D67:D72)</f>
        <v>0</v>
      </c>
      <c r="E73" s="100">
        <f>SUM(E67:E72)</f>
        <v>0</v>
      </c>
    </row>
    <row r="74" spans="1:6" ht="15.75" customHeight="1" x14ac:dyDescent="0.25"/>
    <row r="75" spans="1:6" ht="31.5" customHeight="1" x14ac:dyDescent="0.25">
      <c r="A75" s="148" t="s">
        <v>158</v>
      </c>
      <c r="B75" s="148"/>
      <c r="C75" s="148"/>
      <c r="D75" s="148"/>
      <c r="E75" s="148"/>
      <c r="F75" s="45"/>
    </row>
  </sheetData>
  <sheetProtection sheet="1" objects="1" scenarios="1"/>
  <mergeCells count="14">
    <mergeCell ref="A75:E75"/>
    <mergeCell ref="A3:C3"/>
    <mergeCell ref="A9:B9"/>
    <mergeCell ref="A10:B10"/>
    <mergeCell ref="A8:B8"/>
    <mergeCell ref="A19:C19"/>
    <mergeCell ref="A4:C4"/>
    <mergeCell ref="A5:C5"/>
    <mergeCell ref="A20:B20"/>
    <mergeCell ref="A21:B21"/>
    <mergeCell ref="A22:B22"/>
    <mergeCell ref="A34:B35"/>
    <mergeCell ref="A28:B29"/>
    <mergeCell ref="A32:E32"/>
  </mergeCells>
  <conditionalFormatting sqref="B14">
    <cfRule type="cellIs" dxfId="12" priority="13" operator="notEqual">
      <formula>"&lt;Classe à choisir&gt;"</formula>
    </cfRule>
  </conditionalFormatting>
  <conditionalFormatting sqref="B15">
    <cfRule type="cellIs" dxfId="11" priority="11" operator="notEqual">
      <formula>"&lt;Classe à choisir&gt;"</formula>
    </cfRule>
  </conditionalFormatting>
  <conditionalFormatting sqref="B16">
    <cfRule type="cellIs" dxfId="10" priority="9" operator="notEqual">
      <formula>"&lt;Classe à choisir&gt;"</formula>
    </cfRule>
  </conditionalFormatting>
  <conditionalFormatting sqref="B17">
    <cfRule type="cellIs" dxfId="9" priority="7" operator="notEqual">
      <formula>"&lt;Classe à choisir&gt;"</formula>
    </cfRule>
  </conditionalFormatting>
  <conditionalFormatting sqref="C14">
    <cfRule type="cellIs" dxfId="8" priority="12" operator="notEqual">
      <formula>"Externe"</formula>
    </cfRule>
  </conditionalFormatting>
  <conditionalFormatting sqref="C15">
    <cfRule type="cellIs" dxfId="7" priority="10" operator="notEqual">
      <formula>"Externe"</formula>
    </cfRule>
  </conditionalFormatting>
  <conditionalFormatting sqref="C16">
    <cfRule type="cellIs" dxfId="6" priority="8" operator="notEqual">
      <formula>"Externe"</formula>
    </cfRule>
  </conditionalFormatting>
  <conditionalFormatting sqref="C17">
    <cfRule type="cellIs" dxfId="5" priority="6" operator="notEqual">
      <formula>"Externe"</formula>
    </cfRule>
  </conditionalFormatting>
  <conditionalFormatting sqref="D4:D7">
    <cfRule type="cellIs" dxfId="4" priority="5" operator="equal">
      <formula>"Oui"</formula>
    </cfRule>
  </conditionalFormatting>
  <conditionalFormatting sqref="D14">
    <cfRule type="cellIs" dxfId="3" priority="4" operator="notEqual">
      <formula>"Non"</formula>
    </cfRule>
  </conditionalFormatting>
  <conditionalFormatting sqref="D15">
    <cfRule type="cellIs" dxfId="2" priority="3" operator="notEqual">
      <formula>"Non"</formula>
    </cfRule>
  </conditionalFormatting>
  <conditionalFormatting sqref="D16">
    <cfRule type="cellIs" dxfId="1" priority="2" operator="notEqual">
      <formula>"Non"</formula>
    </cfRule>
  </conditionalFormatting>
  <conditionalFormatting sqref="D17">
    <cfRule type="cellIs" dxfId="0" priority="1" operator="notEqual">
      <formula>"Non"</formula>
    </cfRule>
  </conditionalFormatting>
  <dataValidations count="1">
    <dataValidation showInputMessage="1" showErrorMessage="1" sqref="C13"/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Choix du niveau de classe" error="Veuillez choisir le niveau de classe parmi les propositions de la liste déroulante.">
          <x14:formula1>
            <xm:f>Config!$B$2:$B$15</xm:f>
          </x14:formula1>
          <xm:sqref>B15:B17</xm:sqref>
        </x14:dataValidation>
        <x14:dataValidation type="list" allowBlank="1" showInputMessage="1" showErrorMessage="1" errorTitle="Choix du niveau de classe" error="Veuillez choisir le niveau de classe parmi les propositions de la liste déroulante.">
          <x14:formula1>
            <xm:f>Config!$B$2:$B$15</xm:f>
          </x14:formula1>
          <xm:sqref>B14</xm:sqref>
        </x14:dataValidation>
        <x14:dataValidation type="list" showInputMessage="1" showErrorMessage="1" errorTitle="Choix" error="Veuillez saisir Oui ou Non.">
          <x14:formula1>
            <xm:f>Config!$C$2:$C$4</xm:f>
          </x14:formula1>
          <xm:sqref>C14:C17</xm:sqref>
        </x14:dataValidation>
        <x14:dataValidation type="list" showInputMessage="1" showErrorMessage="1" errorTitle="Choix" error="Veuillez saisir Oui ou Non.">
          <x14:formula1>
            <xm:f>Config!$D$2:$D$6</xm:f>
          </x14:formula1>
          <xm:sqref>D14:D17</xm:sqref>
        </x14:dataValidation>
        <x14:dataValidation type="list" showInputMessage="1" showErrorMessage="1" errorTitle="Choix" error="Veuillez saisir Oui ou Non.">
          <x14:formula1>
            <xm:f>Config!$A$2:$A$3</xm:f>
          </x14:formula1>
          <xm:sqref>D4:D7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E21" sqref="E21"/>
    </sheetView>
  </sheetViews>
  <sheetFormatPr baseColWidth="10" defaultRowHeight="15" x14ac:dyDescent="0.25"/>
  <cols>
    <col min="1" max="1" width="12.5703125" bestFit="1" customWidth="1"/>
    <col min="2" max="2" width="27.7109375" customWidth="1"/>
    <col min="3" max="3" width="27.5703125" customWidth="1"/>
    <col min="4" max="4" width="25.7109375" customWidth="1"/>
  </cols>
  <sheetData>
    <row r="1" spans="1:4" ht="16.5" thickBot="1" x14ac:dyDescent="0.3">
      <c r="B1" s="154" t="s">
        <v>0</v>
      </c>
      <c r="C1" s="156" t="s">
        <v>90</v>
      </c>
      <c r="D1" s="157"/>
    </row>
    <row r="2" spans="1:4" ht="16.5" thickBot="1" x14ac:dyDescent="0.3">
      <c r="A2" t="s">
        <v>28</v>
      </c>
      <c r="B2" s="155"/>
      <c r="C2" s="1" t="s">
        <v>1</v>
      </c>
      <c r="D2" s="2" t="s">
        <v>89</v>
      </c>
    </row>
    <row r="3" spans="1:4" ht="18" thickBot="1" x14ac:dyDescent="0.3">
      <c r="A3">
        <v>0</v>
      </c>
      <c r="B3" s="3" t="s">
        <v>2</v>
      </c>
      <c r="C3" s="4">
        <v>200</v>
      </c>
      <c r="D3" s="5">
        <f>C3/2</f>
        <v>100</v>
      </c>
    </row>
    <row r="4" spans="1:4" ht="18" thickBot="1" x14ac:dyDescent="0.3">
      <c r="A4">
        <v>2000</v>
      </c>
      <c r="B4" s="3" t="s">
        <v>3</v>
      </c>
      <c r="C4" s="4">
        <v>295</v>
      </c>
      <c r="D4" s="5">
        <f t="shared" ref="D4:D24" si="0">C4/2</f>
        <v>147.5</v>
      </c>
    </row>
    <row r="5" spans="1:4" ht="18" thickBot="1" x14ac:dyDescent="0.3">
      <c r="A5">
        <v>3000</v>
      </c>
      <c r="B5" s="3" t="s">
        <v>4</v>
      </c>
      <c r="C5" s="4">
        <v>405</v>
      </c>
      <c r="D5" s="5">
        <f t="shared" si="0"/>
        <v>202.5</v>
      </c>
    </row>
    <row r="6" spans="1:4" ht="18" thickBot="1" x14ac:dyDescent="0.3">
      <c r="A6">
        <v>4000</v>
      </c>
      <c r="B6" s="3" t="s">
        <v>5</v>
      </c>
      <c r="C6" s="4">
        <v>515</v>
      </c>
      <c r="D6" s="5">
        <f t="shared" si="0"/>
        <v>257.5</v>
      </c>
    </row>
    <row r="7" spans="1:4" ht="18" thickBot="1" x14ac:dyDescent="0.3">
      <c r="A7">
        <v>5000</v>
      </c>
      <c r="B7" s="3" t="s">
        <v>6</v>
      </c>
      <c r="C7" s="4">
        <v>625</v>
      </c>
      <c r="D7" s="5">
        <f t="shared" si="0"/>
        <v>312.5</v>
      </c>
    </row>
    <row r="8" spans="1:4" ht="18" thickBot="1" x14ac:dyDescent="0.3">
      <c r="A8">
        <v>6000</v>
      </c>
      <c r="B8" s="3" t="s">
        <v>7</v>
      </c>
      <c r="C8" s="4">
        <v>735</v>
      </c>
      <c r="D8" s="5">
        <f t="shared" si="0"/>
        <v>367.5</v>
      </c>
    </row>
    <row r="9" spans="1:4" ht="18" thickBot="1" x14ac:dyDescent="0.3">
      <c r="A9">
        <v>7000</v>
      </c>
      <c r="B9" s="3" t="s">
        <v>8</v>
      </c>
      <c r="C9" s="4">
        <v>845</v>
      </c>
      <c r="D9" s="5">
        <f t="shared" si="0"/>
        <v>422.5</v>
      </c>
    </row>
    <row r="10" spans="1:4" ht="18" thickBot="1" x14ac:dyDescent="0.3">
      <c r="A10">
        <v>8000</v>
      </c>
      <c r="B10" s="3" t="s">
        <v>9</v>
      </c>
      <c r="C10" s="4">
        <v>955</v>
      </c>
      <c r="D10" s="5">
        <f t="shared" si="0"/>
        <v>477.5</v>
      </c>
    </row>
    <row r="11" spans="1:4" ht="18" thickBot="1" x14ac:dyDescent="0.3">
      <c r="A11">
        <v>9000</v>
      </c>
      <c r="B11" s="3" t="s">
        <v>10</v>
      </c>
      <c r="C11" s="4">
        <v>1065</v>
      </c>
      <c r="D11" s="5">
        <f t="shared" si="0"/>
        <v>532.5</v>
      </c>
    </row>
    <row r="12" spans="1:4" ht="18" thickBot="1" x14ac:dyDescent="0.3">
      <c r="A12">
        <v>10000</v>
      </c>
      <c r="B12" s="3" t="s">
        <v>11</v>
      </c>
      <c r="C12" s="4">
        <v>1175</v>
      </c>
      <c r="D12" s="5">
        <f t="shared" si="0"/>
        <v>587.5</v>
      </c>
    </row>
    <row r="13" spans="1:4" ht="18" thickBot="1" x14ac:dyDescent="0.3">
      <c r="A13">
        <v>11000</v>
      </c>
      <c r="B13" s="3" t="s">
        <v>12</v>
      </c>
      <c r="C13" s="4">
        <v>1285</v>
      </c>
      <c r="D13" s="5">
        <f t="shared" si="0"/>
        <v>642.5</v>
      </c>
    </row>
    <row r="14" spans="1:4" ht="18" thickBot="1" x14ac:dyDescent="0.3">
      <c r="A14">
        <v>12000</v>
      </c>
      <c r="B14" s="3" t="s">
        <v>13</v>
      </c>
      <c r="C14" s="4">
        <v>1460</v>
      </c>
      <c r="D14" s="5">
        <f t="shared" si="0"/>
        <v>730</v>
      </c>
    </row>
    <row r="15" spans="1:4" ht="18" thickBot="1" x14ac:dyDescent="0.3">
      <c r="A15">
        <v>13000</v>
      </c>
      <c r="B15" s="3" t="s">
        <v>14</v>
      </c>
      <c r="C15" s="4">
        <v>1660</v>
      </c>
      <c r="D15" s="5">
        <f t="shared" si="0"/>
        <v>830</v>
      </c>
    </row>
    <row r="16" spans="1:4" ht="18" thickBot="1" x14ac:dyDescent="0.3">
      <c r="A16">
        <v>14000</v>
      </c>
      <c r="B16" s="3" t="s">
        <v>15</v>
      </c>
      <c r="C16" s="4">
        <v>1860</v>
      </c>
      <c r="D16" s="5">
        <f t="shared" si="0"/>
        <v>930</v>
      </c>
    </row>
    <row r="17" spans="1:4" ht="18" thickBot="1" x14ac:dyDescent="0.3">
      <c r="A17">
        <v>15000</v>
      </c>
      <c r="B17" s="3" t="s">
        <v>16</v>
      </c>
      <c r="C17" s="4">
        <v>2060</v>
      </c>
      <c r="D17" s="5">
        <f t="shared" si="0"/>
        <v>1030</v>
      </c>
    </row>
    <row r="18" spans="1:4" ht="18" thickBot="1" x14ac:dyDescent="0.3">
      <c r="A18">
        <v>16000</v>
      </c>
      <c r="B18" s="3" t="s">
        <v>17</v>
      </c>
      <c r="C18" s="4">
        <v>2260</v>
      </c>
      <c r="D18" s="5">
        <f t="shared" si="0"/>
        <v>1130</v>
      </c>
    </row>
    <row r="19" spans="1:4" ht="18" thickBot="1" x14ac:dyDescent="0.3">
      <c r="A19">
        <v>17000</v>
      </c>
      <c r="B19" s="3" t="s">
        <v>18</v>
      </c>
      <c r="C19" s="4">
        <v>2460</v>
      </c>
      <c r="D19" s="5">
        <f t="shared" si="0"/>
        <v>1230</v>
      </c>
    </row>
    <row r="20" spans="1:4" ht="18" thickBot="1" x14ac:dyDescent="0.3">
      <c r="A20">
        <v>18000</v>
      </c>
      <c r="B20" s="3" t="s">
        <v>19</v>
      </c>
      <c r="C20" s="4">
        <v>2660</v>
      </c>
      <c r="D20" s="5">
        <f t="shared" si="0"/>
        <v>1330</v>
      </c>
    </row>
    <row r="21" spans="1:4" ht="18" thickBot="1" x14ac:dyDescent="0.3">
      <c r="A21">
        <v>19000</v>
      </c>
      <c r="B21" s="3" t="s">
        <v>20</v>
      </c>
      <c r="C21" s="4">
        <v>2860</v>
      </c>
      <c r="D21" s="5">
        <f t="shared" si="0"/>
        <v>1430</v>
      </c>
    </row>
    <row r="22" spans="1:4" ht="18" thickBot="1" x14ac:dyDescent="0.3">
      <c r="A22">
        <v>20000</v>
      </c>
      <c r="B22" s="3" t="s">
        <v>21</v>
      </c>
      <c r="C22" s="4">
        <v>3060</v>
      </c>
      <c r="D22" s="5">
        <f t="shared" si="0"/>
        <v>1530</v>
      </c>
    </row>
    <row r="23" spans="1:4" ht="18" thickBot="1" x14ac:dyDescent="0.3">
      <c r="A23">
        <v>21000</v>
      </c>
      <c r="B23" s="3" t="s">
        <v>22</v>
      </c>
      <c r="C23" s="4">
        <v>3260</v>
      </c>
      <c r="D23" s="5">
        <f t="shared" si="0"/>
        <v>1630</v>
      </c>
    </row>
    <row r="24" spans="1:4" ht="18" thickBot="1" x14ac:dyDescent="0.3">
      <c r="A24">
        <v>22000</v>
      </c>
      <c r="B24" s="3" t="s">
        <v>23</v>
      </c>
      <c r="C24" s="4">
        <v>3460</v>
      </c>
      <c r="D24" s="5">
        <f t="shared" si="0"/>
        <v>1730</v>
      </c>
    </row>
  </sheetData>
  <sheetProtection sheet="1" objects="1" scenarios="1"/>
  <mergeCells count="2">
    <mergeCell ref="B1:B2"/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24" sqref="D24"/>
    </sheetView>
  </sheetViews>
  <sheetFormatPr baseColWidth="10" defaultRowHeight="15" x14ac:dyDescent="0.25"/>
  <cols>
    <col min="1" max="1" width="26.28515625" bestFit="1" customWidth="1"/>
    <col min="2" max="2" width="22.140625" customWidth="1"/>
    <col min="3" max="3" width="22.85546875" customWidth="1"/>
  </cols>
  <sheetData>
    <row r="1" spans="1:3" ht="16.5" thickBot="1" x14ac:dyDescent="0.3">
      <c r="A1" s="158"/>
      <c r="B1" s="156" t="s">
        <v>91</v>
      </c>
      <c r="C1" s="157"/>
    </row>
    <row r="2" spans="1:3" ht="16.5" thickBot="1" x14ac:dyDescent="0.3">
      <c r="A2" s="159"/>
      <c r="B2" s="1" t="s">
        <v>1</v>
      </c>
      <c r="C2" s="2" t="s">
        <v>89</v>
      </c>
    </row>
    <row r="3" spans="1:3" ht="16.5" thickBot="1" x14ac:dyDescent="0.3">
      <c r="A3" s="6" t="s">
        <v>24</v>
      </c>
      <c r="B3" s="24">
        <v>33</v>
      </c>
      <c r="C3" s="25">
        <f>B3/2</f>
        <v>16.5</v>
      </c>
    </row>
    <row r="4" spans="1:3" ht="16.5" thickBot="1" x14ac:dyDescent="0.3">
      <c r="A4" s="6" t="s">
        <v>25</v>
      </c>
      <c r="B4" s="24">
        <v>48</v>
      </c>
      <c r="C4" s="25">
        <f t="shared" ref="C4:C6" si="0">B4/2</f>
        <v>24</v>
      </c>
    </row>
    <row r="5" spans="1:3" ht="16.5" thickBot="1" x14ac:dyDescent="0.3">
      <c r="A5" s="6" t="s">
        <v>26</v>
      </c>
      <c r="B5" s="24">
        <v>48</v>
      </c>
      <c r="C5" s="25">
        <f t="shared" si="0"/>
        <v>24</v>
      </c>
    </row>
    <row r="6" spans="1:3" ht="16.5" thickBot="1" x14ac:dyDescent="0.3">
      <c r="A6" s="6" t="s">
        <v>27</v>
      </c>
      <c r="B6" s="24">
        <v>48</v>
      </c>
      <c r="C6" s="25">
        <f t="shared" si="0"/>
        <v>24</v>
      </c>
    </row>
  </sheetData>
  <sheetProtection sheet="1" objects="1" scenarios="1"/>
  <mergeCells count="2">
    <mergeCell ref="A1:A2"/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28" sqref="C28"/>
    </sheetView>
  </sheetViews>
  <sheetFormatPr baseColWidth="10" defaultRowHeight="15" x14ac:dyDescent="0.25"/>
  <cols>
    <col min="1" max="1" width="29" customWidth="1"/>
    <col min="2" max="2" width="15.85546875" customWidth="1"/>
    <col min="3" max="3" width="17.42578125" customWidth="1"/>
  </cols>
  <sheetData>
    <row r="1" spans="1:3" ht="16.5" thickBot="1" x14ac:dyDescent="0.3">
      <c r="A1" s="158"/>
      <c r="B1" s="156" t="s">
        <v>92</v>
      </c>
      <c r="C1" s="156"/>
    </row>
    <row r="2" spans="1:3" ht="16.5" thickBot="1" x14ac:dyDescent="0.3">
      <c r="A2" s="159"/>
      <c r="B2" s="1" t="s">
        <v>1</v>
      </c>
      <c r="C2" s="2" t="s">
        <v>89</v>
      </c>
    </row>
    <row r="3" spans="1:3" ht="36" customHeight="1" thickBot="1" x14ac:dyDescent="0.3">
      <c r="A3" s="6" t="s">
        <v>147</v>
      </c>
      <c r="B3" s="7">
        <v>170</v>
      </c>
      <c r="C3" s="8">
        <f>B3/2</f>
        <v>85</v>
      </c>
    </row>
    <row r="4" spans="1:3" ht="32.25" thickBot="1" x14ac:dyDescent="0.3">
      <c r="A4" s="6" t="s">
        <v>146</v>
      </c>
      <c r="B4" s="7">
        <v>250</v>
      </c>
      <c r="C4" s="8">
        <f>B4/2</f>
        <v>125</v>
      </c>
    </row>
  </sheetData>
  <sheetProtection sheet="1" objects="1" scenarios="1"/>
  <mergeCells count="2">
    <mergeCell ref="A1:A2"/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27" sqref="F27"/>
    </sheetView>
  </sheetViews>
  <sheetFormatPr baseColWidth="10" defaultRowHeight="15" x14ac:dyDescent="0.25"/>
  <cols>
    <col min="1" max="1" width="12.5703125" bestFit="1" customWidth="1"/>
    <col min="2" max="2" width="25.28515625" style="26" customWidth="1"/>
    <col min="3" max="4" width="20.85546875" style="9" customWidth="1"/>
    <col min="5" max="5" width="22" style="9" customWidth="1"/>
    <col min="6" max="6" width="20.28515625" style="9" customWidth="1"/>
    <col min="7" max="8" width="18.140625" style="9" customWidth="1"/>
    <col min="9" max="9" width="22" style="9" customWidth="1"/>
    <col min="10" max="10" width="21.7109375" customWidth="1"/>
    <col min="11" max="11" width="20.140625" customWidth="1"/>
    <col min="12" max="12" width="19" customWidth="1"/>
    <col min="13" max="13" width="18.5703125" customWidth="1"/>
    <col min="14" max="14" width="19" customWidth="1"/>
  </cols>
  <sheetData>
    <row r="1" spans="1:8" ht="48" thickBot="1" x14ac:dyDescent="0.3">
      <c r="A1" t="s">
        <v>28</v>
      </c>
      <c r="B1" s="6" t="s">
        <v>141</v>
      </c>
      <c r="C1" s="33" t="s">
        <v>114</v>
      </c>
      <c r="D1" s="37" t="s">
        <v>138</v>
      </c>
      <c r="E1" s="33" t="s">
        <v>115</v>
      </c>
      <c r="F1" s="37" t="s">
        <v>139</v>
      </c>
      <c r="G1" s="33" t="s">
        <v>116</v>
      </c>
      <c r="H1" s="37" t="s">
        <v>140</v>
      </c>
    </row>
    <row r="2" spans="1:8" ht="16.5" thickBot="1" x14ac:dyDescent="0.3">
      <c r="A2">
        <v>0</v>
      </c>
      <c r="B2" s="6" t="s">
        <v>117</v>
      </c>
      <c r="C2" s="34">
        <v>1.2</v>
      </c>
      <c r="D2" s="35">
        <f>C2*140/2</f>
        <v>84</v>
      </c>
      <c r="E2" s="34">
        <v>1.4</v>
      </c>
      <c r="F2" s="35">
        <f>E2*140/2</f>
        <v>98</v>
      </c>
      <c r="G2" s="34">
        <v>4</v>
      </c>
      <c r="H2" s="36">
        <f>G2*140/2</f>
        <v>280</v>
      </c>
    </row>
    <row r="3" spans="1:8" ht="16.5" thickBot="1" x14ac:dyDescent="0.3">
      <c r="A3">
        <v>2000</v>
      </c>
      <c r="B3" s="6" t="s">
        <v>93</v>
      </c>
      <c r="C3" s="34">
        <v>1.3</v>
      </c>
      <c r="D3" s="35">
        <f t="shared" ref="D3:D23" si="0">C3*140/2</f>
        <v>91</v>
      </c>
      <c r="E3" s="34">
        <v>1.5</v>
      </c>
      <c r="F3" s="35">
        <f t="shared" ref="F3:F23" si="1">E3*140/2</f>
        <v>105</v>
      </c>
      <c r="G3" s="34">
        <v>4</v>
      </c>
      <c r="H3" s="36">
        <f t="shared" ref="H3:H23" si="2">G3*140/2</f>
        <v>280</v>
      </c>
    </row>
    <row r="4" spans="1:8" ht="16.5" thickBot="1" x14ac:dyDescent="0.3">
      <c r="A4">
        <v>3000</v>
      </c>
      <c r="B4" s="6" t="s">
        <v>94</v>
      </c>
      <c r="C4" s="34">
        <v>1.4</v>
      </c>
      <c r="D4" s="35">
        <f t="shared" si="0"/>
        <v>98</v>
      </c>
      <c r="E4" s="34">
        <v>1.6</v>
      </c>
      <c r="F4" s="35">
        <f t="shared" si="1"/>
        <v>112</v>
      </c>
      <c r="G4" s="34">
        <v>4</v>
      </c>
      <c r="H4" s="36">
        <f t="shared" si="2"/>
        <v>280</v>
      </c>
    </row>
    <row r="5" spans="1:8" ht="16.5" thickBot="1" x14ac:dyDescent="0.3">
      <c r="A5">
        <v>4000</v>
      </c>
      <c r="B5" s="6" t="s">
        <v>95</v>
      </c>
      <c r="C5" s="34">
        <v>1.65</v>
      </c>
      <c r="D5" s="35">
        <f t="shared" si="0"/>
        <v>115.5</v>
      </c>
      <c r="E5" s="34">
        <v>1.8</v>
      </c>
      <c r="F5" s="35">
        <f t="shared" si="1"/>
        <v>126</v>
      </c>
      <c r="G5" s="34">
        <v>4</v>
      </c>
      <c r="H5" s="36">
        <f t="shared" si="2"/>
        <v>280</v>
      </c>
    </row>
    <row r="6" spans="1:8" ht="16.5" thickBot="1" x14ac:dyDescent="0.3">
      <c r="A6">
        <v>5000</v>
      </c>
      <c r="B6" s="6" t="s">
        <v>96</v>
      </c>
      <c r="C6" s="34">
        <v>2.1</v>
      </c>
      <c r="D6" s="35">
        <f t="shared" si="0"/>
        <v>147</v>
      </c>
      <c r="E6" s="34">
        <v>2.2999999999999998</v>
      </c>
      <c r="F6" s="35">
        <f t="shared" si="1"/>
        <v>161</v>
      </c>
      <c r="G6" s="34">
        <v>4</v>
      </c>
      <c r="H6" s="36">
        <f t="shared" si="2"/>
        <v>280</v>
      </c>
    </row>
    <row r="7" spans="1:8" ht="16.5" thickBot="1" x14ac:dyDescent="0.3">
      <c r="A7">
        <v>6000</v>
      </c>
      <c r="B7" s="6" t="s">
        <v>97</v>
      </c>
      <c r="C7" s="34">
        <v>2.5</v>
      </c>
      <c r="D7" s="35">
        <f t="shared" si="0"/>
        <v>175</v>
      </c>
      <c r="E7" s="34">
        <v>2.7</v>
      </c>
      <c r="F7" s="35">
        <f t="shared" si="1"/>
        <v>189</v>
      </c>
      <c r="G7" s="34">
        <v>4</v>
      </c>
      <c r="H7" s="36">
        <f t="shared" si="2"/>
        <v>280</v>
      </c>
    </row>
    <row r="8" spans="1:8" ht="16.5" thickBot="1" x14ac:dyDescent="0.3">
      <c r="A8">
        <v>7000</v>
      </c>
      <c r="B8" s="6" t="s">
        <v>98</v>
      </c>
      <c r="C8" s="34">
        <v>2.8</v>
      </c>
      <c r="D8" s="35">
        <f t="shared" si="0"/>
        <v>196</v>
      </c>
      <c r="E8" s="34">
        <v>3</v>
      </c>
      <c r="F8" s="35">
        <f t="shared" si="1"/>
        <v>210</v>
      </c>
      <c r="G8" s="34">
        <v>4.2</v>
      </c>
      <c r="H8" s="36">
        <f t="shared" si="2"/>
        <v>294</v>
      </c>
    </row>
    <row r="9" spans="1:8" ht="16.5" thickBot="1" x14ac:dyDescent="0.3">
      <c r="A9">
        <v>8000</v>
      </c>
      <c r="B9" s="6" t="s">
        <v>99</v>
      </c>
      <c r="C9" s="34">
        <v>2.9</v>
      </c>
      <c r="D9" s="35">
        <f t="shared" si="0"/>
        <v>203</v>
      </c>
      <c r="E9" s="34">
        <v>3.2</v>
      </c>
      <c r="F9" s="35">
        <f t="shared" si="1"/>
        <v>224</v>
      </c>
      <c r="G9" s="34">
        <v>4.2</v>
      </c>
      <c r="H9" s="36">
        <f t="shared" si="2"/>
        <v>294</v>
      </c>
    </row>
    <row r="10" spans="1:8" ht="16.5" thickBot="1" x14ac:dyDescent="0.3">
      <c r="A10">
        <v>9000</v>
      </c>
      <c r="B10" s="6" t="s">
        <v>100</v>
      </c>
      <c r="C10" s="34">
        <v>3.55</v>
      </c>
      <c r="D10" s="35">
        <f t="shared" si="0"/>
        <v>248.5</v>
      </c>
      <c r="E10" s="34">
        <v>3.6</v>
      </c>
      <c r="F10" s="35">
        <f t="shared" si="1"/>
        <v>252</v>
      </c>
      <c r="G10" s="34">
        <v>4.2</v>
      </c>
      <c r="H10" s="36">
        <f t="shared" si="2"/>
        <v>294</v>
      </c>
    </row>
    <row r="11" spans="1:8" ht="16.5" thickBot="1" x14ac:dyDescent="0.3">
      <c r="A11">
        <v>10000</v>
      </c>
      <c r="B11" s="6" t="s">
        <v>101</v>
      </c>
      <c r="C11" s="34">
        <v>3.6</v>
      </c>
      <c r="D11" s="35">
        <f t="shared" si="0"/>
        <v>252</v>
      </c>
      <c r="E11" s="34">
        <v>3.8</v>
      </c>
      <c r="F11" s="35">
        <f t="shared" si="1"/>
        <v>266</v>
      </c>
      <c r="G11" s="34">
        <v>4.2</v>
      </c>
      <c r="H11" s="36">
        <f t="shared" si="2"/>
        <v>294</v>
      </c>
    </row>
    <row r="12" spans="1:8" ht="16.5" thickBot="1" x14ac:dyDescent="0.3">
      <c r="A12">
        <v>11000</v>
      </c>
      <c r="B12" s="6" t="s">
        <v>102</v>
      </c>
      <c r="C12" s="34">
        <v>3.9</v>
      </c>
      <c r="D12" s="35">
        <f t="shared" si="0"/>
        <v>273</v>
      </c>
      <c r="E12" s="34">
        <v>4.0999999999999996</v>
      </c>
      <c r="F12" s="35">
        <f t="shared" si="1"/>
        <v>287</v>
      </c>
      <c r="G12" s="34">
        <v>4.5</v>
      </c>
      <c r="H12" s="36">
        <f t="shared" si="2"/>
        <v>315</v>
      </c>
    </row>
    <row r="13" spans="1:8" ht="16.5" thickBot="1" x14ac:dyDescent="0.3">
      <c r="A13">
        <v>12000</v>
      </c>
      <c r="B13" s="6" t="s">
        <v>103</v>
      </c>
      <c r="C13" s="34">
        <v>3.9</v>
      </c>
      <c r="D13" s="35">
        <f t="shared" si="0"/>
        <v>273</v>
      </c>
      <c r="E13" s="34">
        <v>4.0999999999999996</v>
      </c>
      <c r="F13" s="35">
        <f t="shared" si="1"/>
        <v>287</v>
      </c>
      <c r="G13" s="34">
        <v>4.5</v>
      </c>
      <c r="H13" s="36">
        <f t="shared" si="2"/>
        <v>315</v>
      </c>
    </row>
    <row r="14" spans="1:8" ht="16.5" thickBot="1" x14ac:dyDescent="0.3">
      <c r="A14">
        <v>13000</v>
      </c>
      <c r="B14" s="6" t="s">
        <v>104</v>
      </c>
      <c r="C14" s="34">
        <v>4.0999999999999996</v>
      </c>
      <c r="D14" s="35">
        <f t="shared" si="0"/>
        <v>287</v>
      </c>
      <c r="E14" s="34">
        <v>4.3</v>
      </c>
      <c r="F14" s="35">
        <f t="shared" si="1"/>
        <v>301</v>
      </c>
      <c r="G14" s="34">
        <v>4.5999999999999996</v>
      </c>
      <c r="H14" s="36">
        <f t="shared" si="2"/>
        <v>322</v>
      </c>
    </row>
    <row r="15" spans="1:8" ht="16.5" thickBot="1" x14ac:dyDescent="0.3">
      <c r="A15">
        <v>14000</v>
      </c>
      <c r="B15" s="6" t="s">
        <v>105</v>
      </c>
      <c r="C15" s="34">
        <v>4.0999999999999996</v>
      </c>
      <c r="D15" s="35">
        <f t="shared" si="0"/>
        <v>287</v>
      </c>
      <c r="E15" s="34">
        <v>4.3</v>
      </c>
      <c r="F15" s="35">
        <f t="shared" si="1"/>
        <v>301</v>
      </c>
      <c r="G15" s="34">
        <v>4.5999999999999996</v>
      </c>
      <c r="H15" s="36">
        <f t="shared" si="2"/>
        <v>322</v>
      </c>
    </row>
    <row r="16" spans="1:8" ht="16.5" thickBot="1" x14ac:dyDescent="0.3">
      <c r="A16">
        <v>15000</v>
      </c>
      <c r="B16" s="6" t="s">
        <v>106</v>
      </c>
      <c r="C16" s="34">
        <v>4.5999999999999996</v>
      </c>
      <c r="D16" s="35">
        <f t="shared" si="0"/>
        <v>322</v>
      </c>
      <c r="E16" s="34">
        <v>4.7</v>
      </c>
      <c r="F16" s="35">
        <f t="shared" si="1"/>
        <v>329</v>
      </c>
      <c r="G16" s="34">
        <v>4.8</v>
      </c>
      <c r="H16" s="36">
        <f t="shared" si="2"/>
        <v>336</v>
      </c>
    </row>
    <row r="17" spans="1:8" ht="16.5" thickBot="1" x14ac:dyDescent="0.3">
      <c r="A17">
        <v>16000</v>
      </c>
      <c r="B17" s="6" t="s">
        <v>107</v>
      </c>
      <c r="C17" s="34">
        <v>4.5999999999999996</v>
      </c>
      <c r="D17" s="35">
        <f t="shared" si="0"/>
        <v>322</v>
      </c>
      <c r="E17" s="34">
        <v>4.8</v>
      </c>
      <c r="F17" s="35">
        <f t="shared" si="1"/>
        <v>336</v>
      </c>
      <c r="G17" s="34">
        <v>4.8</v>
      </c>
      <c r="H17" s="36">
        <f t="shared" si="2"/>
        <v>336</v>
      </c>
    </row>
    <row r="18" spans="1:8" ht="16.5" thickBot="1" x14ac:dyDescent="0.3">
      <c r="A18">
        <v>17000</v>
      </c>
      <c r="B18" s="6" t="s">
        <v>108</v>
      </c>
      <c r="C18" s="34">
        <v>4.5999999999999996</v>
      </c>
      <c r="D18" s="35">
        <f t="shared" si="0"/>
        <v>322</v>
      </c>
      <c r="E18" s="34">
        <v>4.8</v>
      </c>
      <c r="F18" s="35">
        <f t="shared" si="1"/>
        <v>336</v>
      </c>
      <c r="G18" s="34">
        <v>5.0999999999999996</v>
      </c>
      <c r="H18" s="36">
        <f t="shared" si="2"/>
        <v>357</v>
      </c>
    </row>
    <row r="19" spans="1:8" ht="16.5" thickBot="1" x14ac:dyDescent="0.3">
      <c r="A19">
        <v>18000</v>
      </c>
      <c r="B19" s="6" t="s">
        <v>109</v>
      </c>
      <c r="C19" s="34">
        <v>4.5999999999999996</v>
      </c>
      <c r="D19" s="35">
        <f t="shared" si="0"/>
        <v>322</v>
      </c>
      <c r="E19" s="34">
        <v>5</v>
      </c>
      <c r="F19" s="35">
        <f t="shared" si="1"/>
        <v>350</v>
      </c>
      <c r="G19" s="34">
        <v>5.2</v>
      </c>
      <c r="H19" s="36">
        <f t="shared" si="2"/>
        <v>364</v>
      </c>
    </row>
    <row r="20" spans="1:8" ht="16.5" thickBot="1" x14ac:dyDescent="0.3">
      <c r="A20">
        <v>19000</v>
      </c>
      <c r="B20" s="6" t="s">
        <v>110</v>
      </c>
      <c r="C20" s="34">
        <v>4.5999999999999996</v>
      </c>
      <c r="D20" s="35">
        <f t="shared" si="0"/>
        <v>322</v>
      </c>
      <c r="E20" s="34">
        <v>5</v>
      </c>
      <c r="F20" s="35">
        <f t="shared" si="1"/>
        <v>350</v>
      </c>
      <c r="G20" s="34">
        <v>5.3</v>
      </c>
      <c r="H20" s="36">
        <f t="shared" si="2"/>
        <v>371</v>
      </c>
    </row>
    <row r="21" spans="1:8" ht="16.5" thickBot="1" x14ac:dyDescent="0.3">
      <c r="A21">
        <v>20000</v>
      </c>
      <c r="B21" s="6" t="s">
        <v>111</v>
      </c>
      <c r="C21" s="34">
        <v>5.0999999999999996</v>
      </c>
      <c r="D21" s="35">
        <f t="shared" si="0"/>
        <v>357</v>
      </c>
      <c r="E21" s="34">
        <v>5.3</v>
      </c>
      <c r="F21" s="35">
        <f t="shared" si="1"/>
        <v>371</v>
      </c>
      <c r="G21" s="34">
        <v>5.3</v>
      </c>
      <c r="H21" s="36">
        <f t="shared" si="2"/>
        <v>371</v>
      </c>
    </row>
    <row r="22" spans="1:8" ht="16.5" thickBot="1" x14ac:dyDescent="0.3">
      <c r="A22">
        <v>21000</v>
      </c>
      <c r="B22" s="6" t="s">
        <v>112</v>
      </c>
      <c r="C22" s="34">
        <v>5.0999999999999996</v>
      </c>
      <c r="D22" s="35">
        <f t="shared" si="0"/>
        <v>357</v>
      </c>
      <c r="E22" s="34">
        <v>5.3</v>
      </c>
      <c r="F22" s="35">
        <f t="shared" si="1"/>
        <v>371</v>
      </c>
      <c r="G22" s="34">
        <v>5.3</v>
      </c>
      <c r="H22" s="36">
        <f t="shared" si="2"/>
        <v>371</v>
      </c>
    </row>
    <row r="23" spans="1:8" ht="16.5" thickBot="1" x14ac:dyDescent="0.3">
      <c r="A23">
        <v>22000</v>
      </c>
      <c r="B23" s="6" t="s">
        <v>113</v>
      </c>
      <c r="C23" s="34">
        <v>5.3</v>
      </c>
      <c r="D23" s="35">
        <f t="shared" si="0"/>
        <v>371</v>
      </c>
      <c r="E23" s="34">
        <v>5.5</v>
      </c>
      <c r="F23" s="35">
        <f t="shared" si="1"/>
        <v>385</v>
      </c>
      <c r="G23" s="34">
        <v>5.6</v>
      </c>
      <c r="H23" s="36">
        <f t="shared" si="2"/>
        <v>392</v>
      </c>
    </row>
    <row r="24" spans="1:8" ht="16.5" thickBot="1" x14ac:dyDescent="0.3">
      <c r="B24" s="6" t="s">
        <v>52</v>
      </c>
      <c r="C24" s="34">
        <v>0.3</v>
      </c>
      <c r="D24" s="35">
        <f>C24*140/2</f>
        <v>21</v>
      </c>
    </row>
  </sheetData>
  <sheetProtection sheet="1" objects="1" scenarios="1"/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L17" sqref="L17"/>
    </sheetView>
  </sheetViews>
  <sheetFormatPr baseColWidth="10" defaultRowHeight="15" x14ac:dyDescent="0.25"/>
  <cols>
    <col min="2" max="2" width="21.28515625" customWidth="1"/>
    <col min="3" max="4" width="18.7109375" customWidth="1"/>
    <col min="5" max="6" width="17.42578125" customWidth="1"/>
    <col min="7" max="8" width="16.28515625" customWidth="1"/>
    <col min="9" max="9" width="17.7109375" customWidth="1"/>
    <col min="10" max="10" width="16.28515625" customWidth="1"/>
  </cols>
  <sheetData>
    <row r="1" spans="1:10" ht="18" customHeight="1" x14ac:dyDescent="0.3">
      <c r="B1" s="160" t="s">
        <v>118</v>
      </c>
      <c r="C1" s="161"/>
      <c r="D1" s="161"/>
      <c r="E1" s="161"/>
      <c r="F1" s="161"/>
      <c r="G1" s="161"/>
      <c r="H1" s="161"/>
      <c r="I1" s="161"/>
      <c r="J1" s="161"/>
    </row>
    <row r="2" spans="1:10" ht="51" thickBot="1" x14ac:dyDescent="0.35">
      <c r="A2" t="s">
        <v>28</v>
      </c>
      <c r="B2" s="27" t="s">
        <v>119</v>
      </c>
      <c r="C2" s="10" t="s">
        <v>121</v>
      </c>
      <c r="D2" s="29" t="s">
        <v>89</v>
      </c>
      <c r="E2" s="31" t="s">
        <v>120</v>
      </c>
      <c r="F2" s="29" t="s">
        <v>89</v>
      </c>
      <c r="G2" s="10" t="s">
        <v>122</v>
      </c>
      <c r="H2" s="29" t="s">
        <v>89</v>
      </c>
      <c r="I2" s="31" t="s">
        <v>74</v>
      </c>
      <c r="J2" s="29" t="s">
        <v>89</v>
      </c>
    </row>
    <row r="3" spans="1:10" ht="18" thickBot="1" x14ac:dyDescent="0.3">
      <c r="A3">
        <v>0</v>
      </c>
      <c r="B3" s="6" t="s">
        <v>117</v>
      </c>
      <c r="C3" s="28">
        <v>100</v>
      </c>
      <c r="D3" s="30">
        <f>C3/2</f>
        <v>50</v>
      </c>
      <c r="E3" s="32">
        <f>C3*0.5</f>
        <v>50</v>
      </c>
      <c r="F3" s="30">
        <f>E3/2</f>
        <v>25</v>
      </c>
      <c r="G3" s="28">
        <f>C3*0.8</f>
        <v>80</v>
      </c>
      <c r="H3" s="30">
        <f>G3/2</f>
        <v>40</v>
      </c>
      <c r="I3" s="32">
        <f>C3*0.3</f>
        <v>30</v>
      </c>
      <c r="J3" s="30">
        <f>I3/2</f>
        <v>15</v>
      </c>
    </row>
    <row r="4" spans="1:10" ht="18" thickBot="1" x14ac:dyDescent="0.3">
      <c r="A4">
        <v>2000</v>
      </c>
      <c r="B4" s="6" t="s">
        <v>93</v>
      </c>
      <c r="C4" s="28">
        <v>119</v>
      </c>
      <c r="D4" s="30">
        <f t="shared" ref="D4:D28" si="0">C4/2</f>
        <v>59.5</v>
      </c>
      <c r="E4" s="32">
        <f t="shared" ref="E4:E28" si="1">C4*0.5</f>
        <v>59.5</v>
      </c>
      <c r="F4" s="30">
        <f t="shared" ref="F4:F28" si="2">E4/2</f>
        <v>29.75</v>
      </c>
      <c r="G4" s="28">
        <f t="shared" ref="G4:G28" si="3">C4*0.8</f>
        <v>95.2</v>
      </c>
      <c r="H4" s="30">
        <f t="shared" ref="H4:H28" si="4">G4/2</f>
        <v>47.6</v>
      </c>
      <c r="I4" s="32">
        <f t="shared" ref="I4:I28" si="5">C4*0.3</f>
        <v>35.699999999999996</v>
      </c>
      <c r="J4" s="30">
        <f t="shared" ref="J4:J28" si="6">I4/2</f>
        <v>17.849999999999998</v>
      </c>
    </row>
    <row r="5" spans="1:10" ht="18" thickBot="1" x14ac:dyDescent="0.3">
      <c r="A5">
        <v>3000</v>
      </c>
      <c r="B5" s="6" t="s">
        <v>94</v>
      </c>
      <c r="C5" s="28">
        <v>138</v>
      </c>
      <c r="D5" s="30">
        <f t="shared" si="0"/>
        <v>69</v>
      </c>
      <c r="E5" s="32">
        <f t="shared" si="1"/>
        <v>69</v>
      </c>
      <c r="F5" s="30">
        <f t="shared" si="2"/>
        <v>34.5</v>
      </c>
      <c r="G5" s="28">
        <f t="shared" si="3"/>
        <v>110.4</v>
      </c>
      <c r="H5" s="30">
        <f t="shared" si="4"/>
        <v>55.2</v>
      </c>
      <c r="I5" s="32">
        <f t="shared" si="5"/>
        <v>41.4</v>
      </c>
      <c r="J5" s="30">
        <f t="shared" si="6"/>
        <v>20.7</v>
      </c>
    </row>
    <row r="6" spans="1:10" ht="18" thickBot="1" x14ac:dyDescent="0.3">
      <c r="A6">
        <v>4000</v>
      </c>
      <c r="B6" s="6" t="s">
        <v>95</v>
      </c>
      <c r="C6" s="28">
        <v>156</v>
      </c>
      <c r="D6" s="30">
        <f t="shared" si="0"/>
        <v>78</v>
      </c>
      <c r="E6" s="32">
        <f t="shared" si="1"/>
        <v>78</v>
      </c>
      <c r="F6" s="30">
        <f t="shared" si="2"/>
        <v>39</v>
      </c>
      <c r="G6" s="28">
        <f t="shared" si="3"/>
        <v>124.80000000000001</v>
      </c>
      <c r="H6" s="30">
        <f t="shared" si="4"/>
        <v>62.400000000000006</v>
      </c>
      <c r="I6" s="32">
        <f t="shared" si="5"/>
        <v>46.8</v>
      </c>
      <c r="J6" s="30">
        <f t="shared" si="6"/>
        <v>23.4</v>
      </c>
    </row>
    <row r="7" spans="1:10" ht="18" thickBot="1" x14ac:dyDescent="0.3">
      <c r="A7">
        <v>5000</v>
      </c>
      <c r="B7" s="6" t="s">
        <v>96</v>
      </c>
      <c r="C7" s="28">
        <v>175</v>
      </c>
      <c r="D7" s="30">
        <f t="shared" si="0"/>
        <v>87.5</v>
      </c>
      <c r="E7" s="32">
        <f t="shared" si="1"/>
        <v>87.5</v>
      </c>
      <c r="F7" s="30">
        <f t="shared" si="2"/>
        <v>43.75</v>
      </c>
      <c r="G7" s="28">
        <f t="shared" si="3"/>
        <v>140</v>
      </c>
      <c r="H7" s="30">
        <f t="shared" si="4"/>
        <v>70</v>
      </c>
      <c r="I7" s="32">
        <f t="shared" si="5"/>
        <v>52.5</v>
      </c>
      <c r="J7" s="30">
        <f t="shared" si="6"/>
        <v>26.25</v>
      </c>
    </row>
    <row r="8" spans="1:10" ht="18" thickBot="1" x14ac:dyDescent="0.3">
      <c r="A8">
        <v>6000</v>
      </c>
      <c r="B8" s="6" t="s">
        <v>97</v>
      </c>
      <c r="C8" s="28">
        <v>194</v>
      </c>
      <c r="D8" s="30">
        <f t="shared" si="0"/>
        <v>97</v>
      </c>
      <c r="E8" s="32">
        <f t="shared" si="1"/>
        <v>97</v>
      </c>
      <c r="F8" s="30">
        <f t="shared" si="2"/>
        <v>48.5</v>
      </c>
      <c r="G8" s="28">
        <f t="shared" si="3"/>
        <v>155.20000000000002</v>
      </c>
      <c r="H8" s="30">
        <f t="shared" si="4"/>
        <v>77.600000000000009</v>
      </c>
      <c r="I8" s="32">
        <f t="shared" si="5"/>
        <v>58.199999999999996</v>
      </c>
      <c r="J8" s="30">
        <f t="shared" si="6"/>
        <v>29.099999999999998</v>
      </c>
    </row>
    <row r="9" spans="1:10" ht="18" thickBot="1" x14ac:dyDescent="0.3">
      <c r="A9">
        <v>7000</v>
      </c>
      <c r="B9" s="6" t="s">
        <v>98</v>
      </c>
      <c r="C9" s="28">
        <v>213</v>
      </c>
      <c r="D9" s="30">
        <f t="shared" si="0"/>
        <v>106.5</v>
      </c>
      <c r="E9" s="32">
        <f t="shared" si="1"/>
        <v>106.5</v>
      </c>
      <c r="F9" s="30">
        <f t="shared" si="2"/>
        <v>53.25</v>
      </c>
      <c r="G9" s="28">
        <f t="shared" si="3"/>
        <v>170.4</v>
      </c>
      <c r="H9" s="30">
        <f t="shared" si="4"/>
        <v>85.2</v>
      </c>
      <c r="I9" s="32">
        <f t="shared" si="5"/>
        <v>63.9</v>
      </c>
      <c r="J9" s="30">
        <f t="shared" si="6"/>
        <v>31.95</v>
      </c>
    </row>
    <row r="10" spans="1:10" ht="18" thickBot="1" x14ac:dyDescent="0.3">
      <c r="A10">
        <v>8000</v>
      </c>
      <c r="B10" s="6" t="s">
        <v>99</v>
      </c>
      <c r="C10" s="28">
        <v>232</v>
      </c>
      <c r="D10" s="30">
        <f t="shared" si="0"/>
        <v>116</v>
      </c>
      <c r="E10" s="32">
        <f t="shared" si="1"/>
        <v>116</v>
      </c>
      <c r="F10" s="30">
        <f t="shared" si="2"/>
        <v>58</v>
      </c>
      <c r="G10" s="28">
        <f t="shared" si="3"/>
        <v>185.60000000000002</v>
      </c>
      <c r="H10" s="30">
        <f t="shared" si="4"/>
        <v>92.800000000000011</v>
      </c>
      <c r="I10" s="32">
        <f t="shared" si="5"/>
        <v>69.599999999999994</v>
      </c>
      <c r="J10" s="30">
        <f t="shared" si="6"/>
        <v>34.799999999999997</v>
      </c>
    </row>
    <row r="11" spans="1:10" ht="18" thickBot="1" x14ac:dyDescent="0.3">
      <c r="A11">
        <v>9000</v>
      </c>
      <c r="B11" s="6" t="s">
        <v>100</v>
      </c>
      <c r="C11" s="28">
        <v>250</v>
      </c>
      <c r="D11" s="30">
        <f t="shared" si="0"/>
        <v>125</v>
      </c>
      <c r="E11" s="32">
        <f t="shared" si="1"/>
        <v>125</v>
      </c>
      <c r="F11" s="30">
        <f t="shared" si="2"/>
        <v>62.5</v>
      </c>
      <c r="G11" s="28">
        <f t="shared" si="3"/>
        <v>200</v>
      </c>
      <c r="H11" s="30">
        <f t="shared" si="4"/>
        <v>100</v>
      </c>
      <c r="I11" s="32">
        <f t="shared" si="5"/>
        <v>75</v>
      </c>
      <c r="J11" s="30">
        <f t="shared" si="6"/>
        <v>37.5</v>
      </c>
    </row>
    <row r="12" spans="1:10" ht="18" thickBot="1" x14ac:dyDescent="0.3">
      <c r="A12">
        <v>10000</v>
      </c>
      <c r="B12" s="6" t="s">
        <v>101</v>
      </c>
      <c r="C12" s="28">
        <v>269</v>
      </c>
      <c r="D12" s="30">
        <f t="shared" si="0"/>
        <v>134.5</v>
      </c>
      <c r="E12" s="32">
        <f t="shared" si="1"/>
        <v>134.5</v>
      </c>
      <c r="F12" s="30">
        <f t="shared" si="2"/>
        <v>67.25</v>
      </c>
      <c r="G12" s="28">
        <f t="shared" si="3"/>
        <v>215.20000000000002</v>
      </c>
      <c r="H12" s="30">
        <f t="shared" si="4"/>
        <v>107.60000000000001</v>
      </c>
      <c r="I12" s="32">
        <f t="shared" si="5"/>
        <v>80.7</v>
      </c>
      <c r="J12" s="30">
        <f t="shared" si="6"/>
        <v>40.35</v>
      </c>
    </row>
    <row r="13" spans="1:10" ht="18" thickBot="1" x14ac:dyDescent="0.3">
      <c r="A13">
        <v>11000</v>
      </c>
      <c r="B13" s="6" t="s">
        <v>102</v>
      </c>
      <c r="C13" s="28">
        <v>288</v>
      </c>
      <c r="D13" s="30">
        <f t="shared" si="0"/>
        <v>144</v>
      </c>
      <c r="E13" s="32">
        <f t="shared" si="1"/>
        <v>144</v>
      </c>
      <c r="F13" s="30">
        <f t="shared" si="2"/>
        <v>72</v>
      </c>
      <c r="G13" s="28">
        <f t="shared" si="3"/>
        <v>230.4</v>
      </c>
      <c r="H13" s="30">
        <f t="shared" si="4"/>
        <v>115.2</v>
      </c>
      <c r="I13" s="32">
        <f t="shared" si="5"/>
        <v>86.399999999999991</v>
      </c>
      <c r="J13" s="30">
        <f t="shared" si="6"/>
        <v>43.199999999999996</v>
      </c>
    </row>
    <row r="14" spans="1:10" ht="18" thickBot="1" x14ac:dyDescent="0.3">
      <c r="A14">
        <v>12000</v>
      </c>
      <c r="B14" s="6" t="s">
        <v>103</v>
      </c>
      <c r="C14" s="28">
        <v>307</v>
      </c>
      <c r="D14" s="30">
        <f t="shared" si="0"/>
        <v>153.5</v>
      </c>
      <c r="E14" s="32">
        <f t="shared" si="1"/>
        <v>153.5</v>
      </c>
      <c r="F14" s="30">
        <f t="shared" si="2"/>
        <v>76.75</v>
      </c>
      <c r="G14" s="28">
        <f t="shared" si="3"/>
        <v>245.60000000000002</v>
      </c>
      <c r="H14" s="30">
        <f t="shared" si="4"/>
        <v>122.80000000000001</v>
      </c>
      <c r="I14" s="32">
        <f t="shared" si="5"/>
        <v>92.1</v>
      </c>
      <c r="J14" s="30">
        <f t="shared" si="6"/>
        <v>46.05</v>
      </c>
    </row>
    <row r="15" spans="1:10" ht="18" thickBot="1" x14ac:dyDescent="0.3">
      <c r="A15">
        <v>13000</v>
      </c>
      <c r="B15" s="6" t="s">
        <v>104</v>
      </c>
      <c r="C15" s="28">
        <v>326</v>
      </c>
      <c r="D15" s="30">
        <f t="shared" si="0"/>
        <v>163</v>
      </c>
      <c r="E15" s="32">
        <f t="shared" si="1"/>
        <v>163</v>
      </c>
      <c r="F15" s="30">
        <f t="shared" si="2"/>
        <v>81.5</v>
      </c>
      <c r="G15" s="28">
        <f t="shared" si="3"/>
        <v>260.8</v>
      </c>
      <c r="H15" s="30">
        <f t="shared" si="4"/>
        <v>130.4</v>
      </c>
      <c r="I15" s="32">
        <f t="shared" si="5"/>
        <v>97.8</v>
      </c>
      <c r="J15" s="30">
        <f t="shared" si="6"/>
        <v>48.9</v>
      </c>
    </row>
    <row r="16" spans="1:10" ht="18" thickBot="1" x14ac:dyDescent="0.3">
      <c r="A16">
        <v>14000</v>
      </c>
      <c r="B16" s="6" t="s">
        <v>105</v>
      </c>
      <c r="C16" s="28">
        <v>344</v>
      </c>
      <c r="D16" s="30">
        <f t="shared" si="0"/>
        <v>172</v>
      </c>
      <c r="E16" s="32">
        <f t="shared" si="1"/>
        <v>172</v>
      </c>
      <c r="F16" s="30">
        <f t="shared" si="2"/>
        <v>86</v>
      </c>
      <c r="G16" s="28">
        <f t="shared" si="3"/>
        <v>275.2</v>
      </c>
      <c r="H16" s="30">
        <f t="shared" si="4"/>
        <v>137.6</v>
      </c>
      <c r="I16" s="32">
        <f t="shared" si="5"/>
        <v>103.2</v>
      </c>
      <c r="J16" s="30">
        <f t="shared" si="6"/>
        <v>51.6</v>
      </c>
    </row>
    <row r="17" spans="1:10" ht="18" thickBot="1" x14ac:dyDescent="0.3">
      <c r="A17">
        <v>15000</v>
      </c>
      <c r="B17" s="6" t="s">
        <v>106</v>
      </c>
      <c r="C17" s="28">
        <v>363</v>
      </c>
      <c r="D17" s="30">
        <f t="shared" si="0"/>
        <v>181.5</v>
      </c>
      <c r="E17" s="32">
        <f t="shared" si="1"/>
        <v>181.5</v>
      </c>
      <c r="F17" s="30">
        <f t="shared" si="2"/>
        <v>90.75</v>
      </c>
      <c r="G17" s="28">
        <f t="shared" si="3"/>
        <v>290.40000000000003</v>
      </c>
      <c r="H17" s="30">
        <f t="shared" si="4"/>
        <v>145.20000000000002</v>
      </c>
      <c r="I17" s="32">
        <f t="shared" si="5"/>
        <v>108.89999999999999</v>
      </c>
      <c r="J17" s="30">
        <f t="shared" si="6"/>
        <v>54.449999999999996</v>
      </c>
    </row>
    <row r="18" spans="1:10" ht="18" thickBot="1" x14ac:dyDescent="0.3">
      <c r="A18">
        <v>16000</v>
      </c>
      <c r="B18" s="6" t="s">
        <v>107</v>
      </c>
      <c r="C18" s="28">
        <v>382</v>
      </c>
      <c r="D18" s="30">
        <f t="shared" si="0"/>
        <v>191</v>
      </c>
      <c r="E18" s="32">
        <f t="shared" si="1"/>
        <v>191</v>
      </c>
      <c r="F18" s="30">
        <f t="shared" si="2"/>
        <v>95.5</v>
      </c>
      <c r="G18" s="28">
        <f t="shared" si="3"/>
        <v>305.60000000000002</v>
      </c>
      <c r="H18" s="30">
        <f t="shared" si="4"/>
        <v>152.80000000000001</v>
      </c>
      <c r="I18" s="32">
        <f t="shared" si="5"/>
        <v>114.6</v>
      </c>
      <c r="J18" s="30">
        <f t="shared" si="6"/>
        <v>57.3</v>
      </c>
    </row>
    <row r="19" spans="1:10" ht="18" thickBot="1" x14ac:dyDescent="0.3">
      <c r="A19">
        <v>17000</v>
      </c>
      <c r="B19" s="6" t="s">
        <v>108</v>
      </c>
      <c r="C19" s="28">
        <v>401</v>
      </c>
      <c r="D19" s="30">
        <f t="shared" si="0"/>
        <v>200.5</v>
      </c>
      <c r="E19" s="32">
        <f t="shared" si="1"/>
        <v>200.5</v>
      </c>
      <c r="F19" s="30">
        <f t="shared" si="2"/>
        <v>100.25</v>
      </c>
      <c r="G19" s="28">
        <f t="shared" si="3"/>
        <v>320.8</v>
      </c>
      <c r="H19" s="30">
        <f t="shared" si="4"/>
        <v>160.4</v>
      </c>
      <c r="I19" s="32">
        <f t="shared" si="5"/>
        <v>120.3</v>
      </c>
      <c r="J19" s="30">
        <f t="shared" si="6"/>
        <v>60.15</v>
      </c>
    </row>
    <row r="20" spans="1:10" ht="18" thickBot="1" x14ac:dyDescent="0.3">
      <c r="A20">
        <v>18000</v>
      </c>
      <c r="B20" s="6" t="s">
        <v>109</v>
      </c>
      <c r="C20" s="28">
        <v>420</v>
      </c>
      <c r="D20" s="30">
        <f t="shared" si="0"/>
        <v>210</v>
      </c>
      <c r="E20" s="32">
        <f t="shared" si="1"/>
        <v>210</v>
      </c>
      <c r="F20" s="30">
        <f t="shared" si="2"/>
        <v>105</v>
      </c>
      <c r="G20" s="28">
        <f t="shared" si="3"/>
        <v>336</v>
      </c>
      <c r="H20" s="30">
        <f t="shared" si="4"/>
        <v>168</v>
      </c>
      <c r="I20" s="32">
        <f t="shared" si="5"/>
        <v>126</v>
      </c>
      <c r="J20" s="30">
        <f t="shared" si="6"/>
        <v>63</v>
      </c>
    </row>
    <row r="21" spans="1:10" ht="18" thickBot="1" x14ac:dyDescent="0.3">
      <c r="A21">
        <v>19000</v>
      </c>
      <c r="B21" s="6" t="s">
        <v>110</v>
      </c>
      <c r="C21" s="28">
        <v>438</v>
      </c>
      <c r="D21" s="30">
        <f t="shared" si="0"/>
        <v>219</v>
      </c>
      <c r="E21" s="32">
        <f t="shared" si="1"/>
        <v>219</v>
      </c>
      <c r="F21" s="30">
        <f t="shared" si="2"/>
        <v>109.5</v>
      </c>
      <c r="G21" s="28">
        <f t="shared" si="3"/>
        <v>350.40000000000003</v>
      </c>
      <c r="H21" s="30">
        <f t="shared" si="4"/>
        <v>175.20000000000002</v>
      </c>
      <c r="I21" s="32">
        <f t="shared" si="5"/>
        <v>131.4</v>
      </c>
      <c r="J21" s="30">
        <f t="shared" si="6"/>
        <v>65.7</v>
      </c>
    </row>
    <row r="22" spans="1:10" ht="18" thickBot="1" x14ac:dyDescent="0.3">
      <c r="A22">
        <v>20000</v>
      </c>
      <c r="B22" s="6" t="s">
        <v>111</v>
      </c>
      <c r="C22" s="28">
        <v>457</v>
      </c>
      <c r="D22" s="30">
        <f t="shared" si="0"/>
        <v>228.5</v>
      </c>
      <c r="E22" s="32">
        <f t="shared" si="1"/>
        <v>228.5</v>
      </c>
      <c r="F22" s="30">
        <f t="shared" si="2"/>
        <v>114.25</v>
      </c>
      <c r="G22" s="28">
        <f t="shared" si="3"/>
        <v>365.6</v>
      </c>
      <c r="H22" s="30">
        <f t="shared" si="4"/>
        <v>182.8</v>
      </c>
      <c r="I22" s="32">
        <f t="shared" si="5"/>
        <v>137.1</v>
      </c>
      <c r="J22" s="30">
        <f t="shared" si="6"/>
        <v>68.55</v>
      </c>
    </row>
    <row r="23" spans="1:10" ht="18" thickBot="1" x14ac:dyDescent="0.3">
      <c r="A23">
        <v>21000</v>
      </c>
      <c r="B23" s="6" t="s">
        <v>112</v>
      </c>
      <c r="C23" s="28">
        <v>476</v>
      </c>
      <c r="D23" s="30">
        <f t="shared" si="0"/>
        <v>238</v>
      </c>
      <c r="E23" s="32">
        <f t="shared" si="1"/>
        <v>238</v>
      </c>
      <c r="F23" s="30">
        <f t="shared" si="2"/>
        <v>119</v>
      </c>
      <c r="G23" s="28">
        <f t="shared" si="3"/>
        <v>380.8</v>
      </c>
      <c r="H23" s="30">
        <f t="shared" si="4"/>
        <v>190.4</v>
      </c>
      <c r="I23" s="32">
        <f t="shared" si="5"/>
        <v>142.79999999999998</v>
      </c>
      <c r="J23" s="30">
        <f t="shared" si="6"/>
        <v>71.399999999999991</v>
      </c>
    </row>
    <row r="24" spans="1:10" ht="18" thickBot="1" x14ac:dyDescent="0.3">
      <c r="A24">
        <v>22000</v>
      </c>
      <c r="B24" s="6" t="s">
        <v>165</v>
      </c>
      <c r="C24" s="28">
        <v>495</v>
      </c>
      <c r="D24" s="30">
        <f t="shared" si="0"/>
        <v>247.5</v>
      </c>
      <c r="E24" s="32">
        <f t="shared" si="1"/>
        <v>247.5</v>
      </c>
      <c r="F24" s="30">
        <f t="shared" si="2"/>
        <v>123.75</v>
      </c>
      <c r="G24" s="28">
        <f t="shared" si="3"/>
        <v>396</v>
      </c>
      <c r="H24" s="30">
        <f t="shared" si="4"/>
        <v>198</v>
      </c>
      <c r="I24" s="32">
        <f t="shared" si="5"/>
        <v>148.5</v>
      </c>
      <c r="J24" s="30">
        <f t="shared" si="6"/>
        <v>74.25</v>
      </c>
    </row>
    <row r="25" spans="1:10" ht="18" thickBot="1" x14ac:dyDescent="0.3">
      <c r="A25">
        <v>24000</v>
      </c>
      <c r="B25" s="6" t="s">
        <v>166</v>
      </c>
      <c r="C25" s="28">
        <v>514</v>
      </c>
      <c r="D25" s="30">
        <f t="shared" si="0"/>
        <v>257</v>
      </c>
      <c r="E25" s="32">
        <f t="shared" si="1"/>
        <v>257</v>
      </c>
      <c r="F25" s="30">
        <f t="shared" si="2"/>
        <v>128.5</v>
      </c>
      <c r="G25" s="28">
        <f t="shared" si="3"/>
        <v>411.20000000000005</v>
      </c>
      <c r="H25" s="30">
        <f t="shared" si="4"/>
        <v>205.60000000000002</v>
      </c>
      <c r="I25" s="32">
        <f t="shared" si="5"/>
        <v>154.19999999999999</v>
      </c>
      <c r="J25" s="30">
        <f t="shared" si="6"/>
        <v>77.099999999999994</v>
      </c>
    </row>
    <row r="26" spans="1:10" ht="18" thickBot="1" x14ac:dyDescent="0.3">
      <c r="A26">
        <v>26000</v>
      </c>
      <c r="B26" s="6" t="s">
        <v>167</v>
      </c>
      <c r="C26" s="28">
        <v>532</v>
      </c>
      <c r="D26" s="30">
        <f t="shared" si="0"/>
        <v>266</v>
      </c>
      <c r="E26" s="32">
        <f t="shared" si="1"/>
        <v>266</v>
      </c>
      <c r="F26" s="30">
        <f t="shared" si="2"/>
        <v>133</v>
      </c>
      <c r="G26" s="28">
        <f t="shared" si="3"/>
        <v>425.6</v>
      </c>
      <c r="H26" s="30">
        <f t="shared" si="4"/>
        <v>212.8</v>
      </c>
      <c r="I26" s="32">
        <f t="shared" si="5"/>
        <v>159.6</v>
      </c>
      <c r="J26" s="30">
        <f t="shared" si="6"/>
        <v>79.8</v>
      </c>
    </row>
    <row r="27" spans="1:10" ht="18" thickBot="1" x14ac:dyDescent="0.3">
      <c r="A27">
        <v>28000</v>
      </c>
      <c r="B27" s="6" t="s">
        <v>168</v>
      </c>
      <c r="C27" s="28">
        <v>551</v>
      </c>
      <c r="D27" s="30">
        <f t="shared" si="0"/>
        <v>275.5</v>
      </c>
      <c r="E27" s="32">
        <f t="shared" si="1"/>
        <v>275.5</v>
      </c>
      <c r="F27" s="30">
        <f t="shared" si="2"/>
        <v>137.75</v>
      </c>
      <c r="G27" s="28">
        <f t="shared" si="3"/>
        <v>440.8</v>
      </c>
      <c r="H27" s="30">
        <f t="shared" si="4"/>
        <v>220.4</v>
      </c>
      <c r="I27" s="32">
        <f t="shared" si="5"/>
        <v>165.29999999999998</v>
      </c>
      <c r="J27" s="30">
        <f t="shared" si="6"/>
        <v>82.649999999999991</v>
      </c>
    </row>
    <row r="28" spans="1:10" ht="18" thickBot="1" x14ac:dyDescent="0.3">
      <c r="A28">
        <v>30001</v>
      </c>
      <c r="B28" s="6" t="s">
        <v>169</v>
      </c>
      <c r="C28" s="28">
        <v>570</v>
      </c>
      <c r="D28" s="30">
        <f t="shared" si="0"/>
        <v>285</v>
      </c>
      <c r="E28" s="32">
        <f t="shared" si="1"/>
        <v>285</v>
      </c>
      <c r="F28" s="30">
        <f t="shared" si="2"/>
        <v>142.5</v>
      </c>
      <c r="G28" s="28">
        <f t="shared" si="3"/>
        <v>456</v>
      </c>
      <c r="H28" s="30">
        <f t="shared" si="4"/>
        <v>228</v>
      </c>
      <c r="I28" s="32">
        <f t="shared" si="5"/>
        <v>171</v>
      </c>
      <c r="J28" s="30">
        <f t="shared" si="6"/>
        <v>85.5</v>
      </c>
    </row>
  </sheetData>
  <sheetProtection sheet="1" objects="1" scenarios="1"/>
  <mergeCells count="1">
    <mergeCell ref="B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7" sqref="D17"/>
    </sheetView>
  </sheetViews>
  <sheetFormatPr baseColWidth="10" defaultRowHeight="15" x14ac:dyDescent="0.25"/>
  <cols>
    <col min="1" max="1" width="15.42578125" bestFit="1" customWidth="1"/>
    <col min="2" max="2" width="23.140625" customWidth="1"/>
    <col min="3" max="3" width="25.140625" customWidth="1"/>
    <col min="4" max="4" width="29.42578125" customWidth="1"/>
  </cols>
  <sheetData>
    <row r="1" spans="1:4" ht="17.45" thickBot="1" x14ac:dyDescent="0.35">
      <c r="A1" s="162" t="s">
        <v>56</v>
      </c>
      <c r="B1" s="163"/>
      <c r="C1" s="163"/>
      <c r="D1" s="164"/>
    </row>
    <row r="2" spans="1:4" ht="17.25" x14ac:dyDescent="0.25">
      <c r="A2" s="165" t="s">
        <v>57</v>
      </c>
      <c r="B2" s="167" t="s">
        <v>58</v>
      </c>
      <c r="C2" s="167" t="s">
        <v>59</v>
      </c>
      <c r="D2" s="17" t="s">
        <v>60</v>
      </c>
    </row>
    <row r="3" spans="1:4" ht="18" thickBot="1" x14ac:dyDescent="0.3">
      <c r="A3" s="166"/>
      <c r="B3" s="168"/>
      <c r="C3" s="168"/>
      <c r="D3" s="18" t="s">
        <v>61</v>
      </c>
    </row>
    <row r="4" spans="1:4" ht="18" thickBot="1" x14ac:dyDescent="0.3">
      <c r="A4" s="11" t="s">
        <v>62</v>
      </c>
      <c r="B4" s="5">
        <v>2</v>
      </c>
      <c r="C4" s="5">
        <v>6.5</v>
      </c>
      <c r="D4" s="5">
        <v>1.5</v>
      </c>
    </row>
    <row r="5" spans="1:4" ht="18" thickBot="1" x14ac:dyDescent="0.3">
      <c r="A5" s="11" t="s">
        <v>63</v>
      </c>
      <c r="B5" s="5">
        <v>4</v>
      </c>
      <c r="C5" s="5">
        <v>7</v>
      </c>
      <c r="D5" s="5">
        <v>2</v>
      </c>
    </row>
    <row r="6" spans="1:4" ht="18" thickBot="1" x14ac:dyDescent="0.3">
      <c r="A6" s="11" t="s">
        <v>64</v>
      </c>
      <c r="B6" s="5">
        <v>5.2</v>
      </c>
      <c r="C6" s="5">
        <v>7.6</v>
      </c>
      <c r="D6" s="5">
        <v>3.6</v>
      </c>
    </row>
    <row r="7" spans="1:4" ht="18" thickBot="1" x14ac:dyDescent="0.3">
      <c r="A7" s="11" t="s">
        <v>65</v>
      </c>
      <c r="B7" s="5">
        <v>6.3</v>
      </c>
      <c r="C7" s="5">
        <v>8.8000000000000007</v>
      </c>
      <c r="D7" s="5">
        <v>5.8</v>
      </c>
    </row>
    <row r="8" spans="1:4" ht="18" thickBot="1" x14ac:dyDescent="0.3">
      <c r="A8" s="11" t="s">
        <v>66</v>
      </c>
      <c r="B8" s="5">
        <v>7.3</v>
      </c>
      <c r="C8" s="5">
        <v>8.8000000000000007</v>
      </c>
      <c r="D8" s="5">
        <v>8.8000000000000007</v>
      </c>
    </row>
    <row r="9" spans="1:4" ht="18" thickBot="1" x14ac:dyDescent="0.3">
      <c r="A9" s="11" t="s">
        <v>67</v>
      </c>
      <c r="B9" s="5">
        <v>8.4</v>
      </c>
      <c r="C9" s="5">
        <v>10</v>
      </c>
      <c r="D9" s="5">
        <v>10</v>
      </c>
    </row>
    <row r="10" spans="1:4" ht="18" thickBot="1" x14ac:dyDescent="0.3">
      <c r="A10" s="11" t="s">
        <v>68</v>
      </c>
      <c r="B10" s="5">
        <v>9</v>
      </c>
      <c r="C10" s="5">
        <v>12</v>
      </c>
      <c r="D10" s="5">
        <v>12</v>
      </c>
    </row>
    <row r="11" spans="1:4" ht="18" thickBot="1" x14ac:dyDescent="0.3">
      <c r="A11" s="11" t="s">
        <v>69</v>
      </c>
      <c r="B11" s="5">
        <v>10</v>
      </c>
      <c r="C11" s="5">
        <v>13</v>
      </c>
      <c r="D11" s="5">
        <v>13</v>
      </c>
    </row>
  </sheetData>
  <sheetProtection sheet="1" objects="1" scenarios="1"/>
  <mergeCells count="4">
    <mergeCell ref="A1:D1"/>
    <mergeCell ref="A2:A3"/>
    <mergeCell ref="B2:B3"/>
    <mergeCell ref="C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H9" sqref="H9"/>
    </sheetView>
  </sheetViews>
  <sheetFormatPr baseColWidth="10" defaultRowHeight="15" x14ac:dyDescent="0.25"/>
  <cols>
    <col min="2" max="2" width="18.85546875" bestFit="1" customWidth="1"/>
    <col min="3" max="4" width="19.5703125" customWidth="1"/>
    <col min="5" max="5" width="9.7109375" customWidth="1"/>
    <col min="6" max="6" width="14.28515625" bestFit="1" customWidth="1"/>
    <col min="7" max="7" width="11" bestFit="1" customWidth="1"/>
    <col min="8" max="8" width="14.42578125" bestFit="1" customWidth="1"/>
    <col min="9" max="9" width="15.42578125" bestFit="1" customWidth="1"/>
    <col min="10" max="10" width="13.42578125" bestFit="1" customWidth="1"/>
    <col min="11" max="11" width="19.42578125" bestFit="1" customWidth="1"/>
  </cols>
  <sheetData>
    <row r="1" spans="1:12" ht="15.75" x14ac:dyDescent="0.25">
      <c r="A1" s="13" t="s">
        <v>51</v>
      </c>
      <c r="B1" s="13" t="s">
        <v>50</v>
      </c>
      <c r="C1" s="13" t="s">
        <v>31</v>
      </c>
      <c r="D1" s="13" t="s">
        <v>78</v>
      </c>
      <c r="E1" s="13"/>
      <c r="G1" s="13" t="s">
        <v>87</v>
      </c>
      <c r="H1" s="13" t="s">
        <v>170</v>
      </c>
      <c r="I1" s="13" t="s">
        <v>171</v>
      </c>
      <c r="L1" s="12"/>
    </row>
    <row r="2" spans="1:12" ht="15.75" x14ac:dyDescent="0.25">
      <c r="A2" s="20" t="s">
        <v>29</v>
      </c>
      <c r="B2" s="20" t="s">
        <v>86</v>
      </c>
      <c r="C2" s="20" t="s">
        <v>53</v>
      </c>
      <c r="D2" s="20" t="s">
        <v>30</v>
      </c>
      <c r="E2" s="12"/>
      <c r="F2" s="12" t="s">
        <v>131</v>
      </c>
      <c r="G2" s="169" t="b">
        <f>AND('Estimation des frais'!B14&lt;&gt;"",'Estimation des frais'!B14&lt;&gt;"&lt;Classe à choisir&gt;")</f>
        <v>1</v>
      </c>
      <c r="H2" s="20">
        <f>IF(Config!G2,IF('Estimation des frais'!D14="Non",0,1),0)</f>
        <v>0</v>
      </c>
      <c r="I2" s="20">
        <f>IF(H2=0,0,IF(H2=1,1,IF(H2=2,0.8,0.7)))</f>
        <v>0</v>
      </c>
      <c r="L2" s="12"/>
    </row>
    <row r="3" spans="1:12" ht="15.75" x14ac:dyDescent="0.25">
      <c r="A3" s="14" t="s">
        <v>30</v>
      </c>
      <c r="B3" s="15" t="s">
        <v>130</v>
      </c>
      <c r="C3" s="15" t="s">
        <v>55</v>
      </c>
      <c r="D3" s="15" t="s">
        <v>77</v>
      </c>
      <c r="E3" s="12"/>
      <c r="F3" s="12" t="s">
        <v>132</v>
      </c>
      <c r="G3" s="170" t="b">
        <f>AND('Estimation des frais'!B15&lt;&gt;"",'Estimation des frais'!B15&lt;&gt;"&lt;Classe à choisir&gt;")</f>
        <v>1</v>
      </c>
      <c r="H3" s="15">
        <f>IF(Config!G3,IF('Estimation des frais'!D15="Non",H2,H2+1),0)</f>
        <v>1</v>
      </c>
      <c r="I3" s="15">
        <f t="shared" ref="I3:I5" si="0">IF(H3=0,0,IF(H3=1,1,IF(H3=2,0.8,0.7)))</f>
        <v>1</v>
      </c>
      <c r="L3" s="12"/>
    </row>
    <row r="4" spans="1:12" ht="15.75" x14ac:dyDescent="0.25">
      <c r="B4" s="15" t="s">
        <v>48</v>
      </c>
      <c r="C4" s="14" t="s">
        <v>52</v>
      </c>
      <c r="D4" s="15" t="s">
        <v>75</v>
      </c>
      <c r="E4" s="12"/>
      <c r="F4" s="12" t="s">
        <v>133</v>
      </c>
      <c r="G4" s="170" t="b">
        <f>AND('Estimation des frais'!B16&lt;&gt;"",'Estimation des frais'!B16&lt;&gt;"&lt;Classe à choisir&gt;")</f>
        <v>1</v>
      </c>
      <c r="H4" s="15">
        <f>IF(Config!G4,IF('Estimation des frais'!D16="Non",H3,H3+1),0)</f>
        <v>2</v>
      </c>
      <c r="I4" s="15">
        <f t="shared" si="0"/>
        <v>0.8</v>
      </c>
      <c r="J4" s="12"/>
      <c r="L4" s="12"/>
    </row>
    <row r="5" spans="1:12" ht="15.75" x14ac:dyDescent="0.25">
      <c r="B5" s="15" t="s">
        <v>47</v>
      </c>
      <c r="D5" s="15" t="s">
        <v>76</v>
      </c>
      <c r="E5" s="12"/>
      <c r="F5" s="12" t="s">
        <v>134</v>
      </c>
      <c r="G5" s="171" t="b">
        <f>AND('Estimation des frais'!B17&lt;&gt;"",'Estimation des frais'!B17&lt;&gt;"&lt;Classe à choisir&gt;")</f>
        <v>0</v>
      </c>
      <c r="H5" s="14">
        <f>IF(Config!G5,IF('Estimation des frais'!D17="Non",H4,H4+1),0)</f>
        <v>0</v>
      </c>
      <c r="I5" s="14">
        <f t="shared" si="0"/>
        <v>0</v>
      </c>
      <c r="K5" s="12"/>
      <c r="L5" s="12"/>
    </row>
    <row r="6" spans="1:12" ht="15.75" x14ac:dyDescent="0.25">
      <c r="B6" s="15" t="s">
        <v>46</v>
      </c>
      <c r="C6" s="16"/>
      <c r="D6" s="14" t="s">
        <v>74</v>
      </c>
      <c r="E6" s="12"/>
      <c r="F6" s="12"/>
      <c r="G6" s="12"/>
      <c r="H6" s="12"/>
      <c r="I6" s="12"/>
      <c r="K6" s="12"/>
      <c r="L6" s="12"/>
    </row>
    <row r="7" spans="1:12" ht="15.75" x14ac:dyDescent="0.25">
      <c r="B7" s="15" t="s">
        <v>45</v>
      </c>
      <c r="C7" s="12"/>
      <c r="D7" s="12"/>
      <c r="E7" s="12"/>
      <c r="F7" s="13"/>
      <c r="G7" s="13" t="s">
        <v>135</v>
      </c>
      <c r="H7" s="12"/>
      <c r="I7" s="12"/>
      <c r="K7" s="12"/>
      <c r="L7" s="12"/>
    </row>
    <row r="8" spans="1:12" ht="15.75" x14ac:dyDescent="0.25">
      <c r="B8" s="15" t="s">
        <v>44</v>
      </c>
      <c r="D8" s="12"/>
      <c r="E8" s="12"/>
      <c r="F8" s="12" t="s">
        <v>136</v>
      </c>
      <c r="G8" s="19">
        <f>IF('Estimation des frais'!D4="Oui",0.9,1)</f>
        <v>1</v>
      </c>
      <c r="H8" s="12"/>
      <c r="I8" s="12"/>
      <c r="J8" s="13"/>
      <c r="L8" s="13"/>
    </row>
    <row r="9" spans="1:12" ht="15.75" x14ac:dyDescent="0.25">
      <c r="B9" s="15" t="s">
        <v>43</v>
      </c>
      <c r="D9" s="12"/>
      <c r="E9" s="12"/>
      <c r="F9" s="12" t="s">
        <v>137</v>
      </c>
      <c r="G9" s="19">
        <f>IF('Estimation des frais'!D5="Oui",0.5,1)</f>
        <v>1</v>
      </c>
      <c r="H9" s="12"/>
      <c r="I9" s="12"/>
      <c r="J9" s="12"/>
      <c r="L9" s="12"/>
    </row>
    <row r="10" spans="1:12" ht="15.75" x14ac:dyDescent="0.25">
      <c r="B10" s="15" t="s">
        <v>42</v>
      </c>
      <c r="J10" s="12"/>
      <c r="L10" s="12"/>
    </row>
    <row r="11" spans="1:12" ht="15.75" x14ac:dyDescent="0.25">
      <c r="B11" s="15" t="s">
        <v>41</v>
      </c>
      <c r="J11" s="12"/>
      <c r="L11" s="12"/>
    </row>
    <row r="12" spans="1:12" ht="15.6" x14ac:dyDescent="0.3">
      <c r="B12" s="15" t="s">
        <v>40</v>
      </c>
      <c r="J12" s="12"/>
      <c r="L12" s="12"/>
    </row>
    <row r="13" spans="1:12" ht="15.6" x14ac:dyDescent="0.3">
      <c r="B13" s="15" t="s">
        <v>39</v>
      </c>
      <c r="C13" s="12"/>
      <c r="D13" s="12"/>
      <c r="E13" s="12"/>
      <c r="F13" s="12"/>
      <c r="G13" s="12"/>
      <c r="H13" s="12"/>
      <c r="I13" s="12"/>
      <c r="J13" s="12"/>
      <c r="L13" s="12"/>
    </row>
    <row r="14" spans="1:12" ht="15.6" x14ac:dyDescent="0.3">
      <c r="B14" s="15" t="s">
        <v>38</v>
      </c>
      <c r="C14" s="12"/>
      <c r="D14" s="12"/>
      <c r="E14" s="12"/>
      <c r="F14" s="12"/>
      <c r="G14" s="12"/>
      <c r="H14" s="12"/>
      <c r="I14" s="12"/>
      <c r="J14" s="12"/>
      <c r="L14" s="12"/>
    </row>
    <row r="15" spans="1:12" ht="15.6" x14ac:dyDescent="0.3">
      <c r="B15" s="14" t="s">
        <v>37</v>
      </c>
      <c r="C15" s="12"/>
      <c r="D15" s="12"/>
      <c r="E15" s="12"/>
      <c r="F15" s="12"/>
      <c r="G15" s="12"/>
      <c r="H15" s="12"/>
      <c r="I15" s="12"/>
      <c r="J15" s="12"/>
      <c r="L15" s="12"/>
    </row>
    <row r="16" spans="1:12" ht="15.6" x14ac:dyDescent="0.3">
      <c r="J16" s="12"/>
      <c r="L16" s="1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Estimation des frais</vt:lpstr>
      <vt:lpstr>Scolarité</vt:lpstr>
      <vt:lpstr>Pédagogique</vt:lpstr>
      <vt:lpstr>Séjour</vt:lpstr>
      <vt:lpstr>Cantine</vt:lpstr>
      <vt:lpstr>ALAE primaire</vt:lpstr>
      <vt:lpstr>ALSH primaire</vt:lpstr>
      <vt:lpstr>Config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Hélène WAVRANT</cp:lastModifiedBy>
  <dcterms:created xsi:type="dcterms:W3CDTF">2015-06-05T18:19:34Z</dcterms:created>
  <dcterms:modified xsi:type="dcterms:W3CDTF">2025-06-30T16:20:07Z</dcterms:modified>
</cp:coreProperties>
</file>