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i\Documents\Amélie\Ecole La Prairie\CA\2024-01-16 Infos grille parents\"/>
    </mc:Choice>
  </mc:AlternateContent>
  <xr:revisionPtr revIDLastSave="0" documentId="13_ncr:1_{33AD81C6-AFBE-4C91-BAE3-D8BA54523CBA}" xr6:coauthVersionLast="47" xr6:coauthVersionMax="47" xr10:uidLastSave="{00000000-0000-0000-0000-000000000000}"/>
  <bookViews>
    <workbookView xWindow="-108" yWindow="-108" windowWidth="23256" windowHeight="12576" tabRatio="631" xr2:uid="{00000000-000D-0000-FFFF-FFFF00000000}"/>
  </bookViews>
  <sheets>
    <sheet name="Calcul des frais" sheetId="1" r:id="rId1"/>
    <sheet name="Scolarité" sheetId="2" r:id="rId2"/>
    <sheet name="Pédagogique" sheetId="5" r:id="rId3"/>
    <sheet name="Voyage" sheetId="6" r:id="rId4"/>
    <sheet name="Cantine 23-24" sheetId="3" r:id="rId5"/>
    <sheet name="ALAE primaire" sheetId="4" r:id="rId6"/>
    <sheet name="ALSH primaire" sheetId="7" r:id="rId7"/>
  </sheets>
  <definedNames>
    <definedName name="_">'Calcul des frais'!$N$6</definedName>
    <definedName name="Niveau_Classe">'Calcul des frais'!$K$5:$K$18</definedName>
    <definedName name="Oui_Non">'Calcul des frais'!$M$5:$M$6</definedName>
    <definedName name="PAS_DE_CLASSE">'Calcul des frais'!$K$5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L12" i="1"/>
  <c r="L13" i="1" s="1"/>
  <c r="L14" i="1" s="1"/>
  <c r="L15" i="1" s="1"/>
  <c r="D56" i="1" s="1"/>
  <c r="M13" i="1"/>
  <c r="M14" i="1"/>
  <c r="M15" i="1"/>
  <c r="M12" i="1"/>
  <c r="B31" i="1"/>
  <c r="B32" i="1"/>
  <c r="B40" i="1"/>
  <c r="B41" i="1"/>
  <c r="B50" i="1"/>
  <c r="B49" i="1"/>
  <c r="B59" i="1"/>
  <c r="B58" i="1"/>
  <c r="O13" i="1"/>
  <c r="O14" i="1"/>
  <c r="O15" i="1"/>
  <c r="O12" i="1"/>
  <c r="M4" i="4"/>
  <c r="M5" i="4"/>
  <c r="M6" i="4"/>
  <c r="M7" i="4"/>
  <c r="M8" i="4"/>
  <c r="M9" i="4"/>
  <c r="M3" i="4"/>
  <c r="L8" i="4"/>
  <c r="L7" i="4"/>
  <c r="L6" i="4"/>
  <c r="L9" i="4"/>
  <c r="D20" i="1"/>
  <c r="M9" i="1"/>
  <c r="M8" i="1"/>
  <c r="C25" i="1"/>
  <c r="F25" i="1" s="1"/>
  <c r="I4" i="3"/>
  <c r="I5" i="3"/>
  <c r="I3" i="3"/>
  <c r="B54" i="1"/>
  <c r="B45" i="1"/>
  <c r="B36" i="1"/>
  <c r="B27" i="1"/>
  <c r="F24" i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4" i="4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3" i="2"/>
  <c r="D19" i="1"/>
  <c r="E14" i="1" l="1"/>
  <c r="E15" i="1"/>
  <c r="D28" i="1"/>
  <c r="E31" i="1"/>
  <c r="E47" i="1"/>
  <c r="C29" i="1"/>
  <c r="E28" i="1"/>
  <c r="C33" i="1"/>
  <c r="D48" i="1"/>
  <c r="D29" i="1"/>
  <c r="D31" i="1"/>
  <c r="C37" i="1"/>
  <c r="C41" i="1"/>
  <c r="E29" i="1"/>
  <c r="C31" i="1"/>
  <c r="D46" i="1"/>
  <c r="C28" i="1"/>
  <c r="C46" i="1"/>
  <c r="E48" i="1"/>
  <c r="E55" i="1"/>
  <c r="E37" i="1"/>
  <c r="E46" i="1"/>
  <c r="C51" i="1"/>
  <c r="F51" i="1" s="1"/>
  <c r="C50" i="1"/>
  <c r="D39" i="1"/>
  <c r="D41" i="1"/>
  <c r="C57" i="1"/>
  <c r="D58" i="1"/>
  <c r="E59" i="1"/>
  <c r="E49" i="1"/>
  <c r="C56" i="1"/>
  <c r="E13" i="1"/>
  <c r="D55" i="1"/>
  <c r="E57" i="1"/>
  <c r="C59" i="1"/>
  <c r="C49" i="1"/>
  <c r="D40" i="1"/>
  <c r="D38" i="1"/>
  <c r="E56" i="1"/>
  <c r="D37" i="1"/>
  <c r="C47" i="1"/>
  <c r="C39" i="1"/>
  <c r="E41" i="1"/>
  <c r="E58" i="1"/>
  <c r="D59" i="1"/>
  <c r="D49" i="1"/>
  <c r="E40" i="1"/>
  <c r="E38" i="1"/>
  <c r="C42" i="1"/>
  <c r="D47" i="1"/>
  <c r="C48" i="1"/>
  <c r="E39" i="1"/>
  <c r="C55" i="1"/>
  <c r="D57" i="1"/>
  <c r="C58" i="1"/>
  <c r="C60" i="1"/>
  <c r="F60" i="1" s="1"/>
  <c r="C40" i="1"/>
  <c r="C38" i="1"/>
  <c r="M16" i="1"/>
  <c r="E50" i="1" s="1"/>
  <c r="C30" i="1"/>
  <c r="D30" i="1"/>
  <c r="E30" i="1"/>
  <c r="F42" i="1"/>
  <c r="F33" i="1"/>
  <c r="F49" i="1" l="1"/>
  <c r="F57" i="1"/>
  <c r="F58" i="1"/>
  <c r="F55" i="1"/>
  <c r="D50" i="1"/>
  <c r="D52" i="1" s="1"/>
  <c r="F30" i="1"/>
  <c r="E52" i="1"/>
  <c r="E43" i="1"/>
  <c r="C32" i="1"/>
  <c r="C43" i="1"/>
  <c r="E32" i="1"/>
  <c r="D32" i="1"/>
  <c r="F39" i="1"/>
  <c r="F29" i="1"/>
  <c r="F47" i="1"/>
  <c r="F38" i="1"/>
  <c r="F48" i="1"/>
  <c r="F56" i="1"/>
  <c r="E61" i="1"/>
  <c r="D61" i="1"/>
  <c r="F31" i="1"/>
  <c r="F40" i="1"/>
  <c r="F46" i="1"/>
  <c r="F37" i="1"/>
  <c r="F28" i="1"/>
  <c r="C61" i="1" l="1"/>
  <c r="F59" i="1"/>
  <c r="F61" i="1" s="1"/>
  <c r="F41" i="1"/>
  <c r="F43" i="1" s="1"/>
  <c r="C52" i="1"/>
  <c r="F50" i="1"/>
  <c r="F52" i="1" s="1"/>
  <c r="D43" i="1"/>
  <c r="N23" i="3" l="1"/>
  <c r="M23" i="3"/>
  <c r="L23" i="3"/>
  <c r="N18" i="3"/>
  <c r="N19" i="3"/>
  <c r="N20" i="3"/>
  <c r="N21" i="3"/>
  <c r="N22" i="3"/>
  <c r="N24" i="3"/>
  <c r="N25" i="3"/>
  <c r="N26" i="3"/>
  <c r="M18" i="3"/>
  <c r="M19" i="3"/>
  <c r="M20" i="3"/>
  <c r="M21" i="3"/>
  <c r="M22" i="3"/>
  <c r="M24" i="3"/>
  <c r="M25" i="3"/>
  <c r="M26" i="3"/>
  <c r="N17" i="3"/>
  <c r="M17" i="3"/>
  <c r="L18" i="3"/>
  <c r="L19" i="3"/>
  <c r="L20" i="3"/>
  <c r="L21" i="3"/>
  <c r="L22" i="3"/>
  <c r="L24" i="3"/>
  <c r="L25" i="3"/>
  <c r="L26" i="3"/>
  <c r="L17" i="3"/>
  <c r="K26" i="3"/>
  <c r="K24" i="3"/>
  <c r="K23" i="3"/>
  <c r="K22" i="3"/>
  <c r="K20" i="3"/>
  <c r="K19" i="3"/>
  <c r="K18" i="3"/>
  <c r="J18" i="3"/>
  <c r="J19" i="3"/>
  <c r="J20" i="3"/>
  <c r="G20" i="3" s="1"/>
  <c r="J21" i="3"/>
  <c r="J22" i="3"/>
  <c r="J23" i="3"/>
  <c r="J24" i="3"/>
  <c r="G24" i="3" s="1"/>
  <c r="J25" i="3"/>
  <c r="J26" i="3"/>
  <c r="I18" i="3"/>
  <c r="I19" i="3"/>
  <c r="I20" i="3"/>
  <c r="I21" i="3"/>
  <c r="I22" i="3"/>
  <c r="I23" i="3"/>
  <c r="I24" i="3"/>
  <c r="I25" i="3"/>
  <c r="I26" i="3"/>
  <c r="H18" i="3"/>
  <c r="H19" i="3"/>
  <c r="H20" i="3"/>
  <c r="H21" i="3"/>
  <c r="H22" i="3"/>
  <c r="H23" i="3"/>
  <c r="H24" i="3"/>
  <c r="H25" i="3"/>
  <c r="H26" i="3"/>
  <c r="J17" i="3"/>
  <c r="I17" i="3"/>
  <c r="H17" i="3"/>
  <c r="F18" i="3"/>
  <c r="F19" i="3"/>
  <c r="F20" i="3"/>
  <c r="F21" i="3"/>
  <c r="F22" i="3"/>
  <c r="F23" i="3"/>
  <c r="F24" i="3"/>
  <c r="F25" i="3"/>
  <c r="F26" i="3"/>
  <c r="E18" i="3"/>
  <c r="E19" i="3"/>
  <c r="E20" i="3"/>
  <c r="E21" i="3"/>
  <c r="E22" i="3"/>
  <c r="E23" i="3"/>
  <c r="E24" i="3"/>
  <c r="E25" i="3"/>
  <c r="E26" i="3"/>
  <c r="F17" i="3"/>
  <c r="E17" i="3"/>
  <c r="D18" i="3"/>
  <c r="D19" i="3"/>
  <c r="D20" i="3"/>
  <c r="C20" i="3" s="1"/>
  <c r="D21" i="3"/>
  <c r="D22" i="3"/>
  <c r="D23" i="3"/>
  <c r="D24" i="3"/>
  <c r="C24" i="3" s="1"/>
  <c r="D25" i="3"/>
  <c r="D26" i="3"/>
  <c r="D17" i="3"/>
  <c r="G26" i="3"/>
  <c r="G23" i="3"/>
  <c r="G22" i="3"/>
  <c r="G19" i="3"/>
  <c r="G18" i="3"/>
  <c r="C18" i="3"/>
  <c r="C19" i="3"/>
  <c r="C22" i="3"/>
  <c r="C23" i="3"/>
  <c r="C26" i="3"/>
  <c r="K25" i="3" l="1"/>
  <c r="K21" i="3"/>
  <c r="K17" i="3"/>
  <c r="G21" i="3"/>
  <c r="G17" i="3"/>
  <c r="C21" i="3"/>
  <c r="C25" i="3"/>
  <c r="C17" i="3"/>
  <c r="G25" i="3"/>
  <c r="E34" i="1" l="1"/>
  <c r="E65" i="1" s="1"/>
  <c r="E66" i="1" s="1"/>
  <c r="D34" i="1"/>
  <c r="D65" i="1" s="1"/>
  <c r="D66" i="1" s="1"/>
  <c r="F32" i="1"/>
  <c r="F34" i="1" s="1"/>
  <c r="F65" i="1" s="1"/>
  <c r="C34" i="1"/>
  <c r="C65" i="1" s="1"/>
  <c r="C66" i="1" s="1"/>
</calcChain>
</file>

<file path=xl/sharedStrings.xml><?xml version="1.0" encoding="utf-8"?>
<sst xmlns="http://schemas.openxmlformats.org/spreadsheetml/2006/main" count="281" uniqueCount="180">
  <si>
    <r>
      <t xml:space="preserve">Tranches quotient RFR par part (en </t>
    </r>
    <r>
      <rPr>
        <b/>
        <sz val="12"/>
        <color rgb="FFFFFFFF"/>
        <rFont val="Alef"/>
      </rPr>
      <t>€)</t>
    </r>
  </si>
  <si>
    <t>Tarifs de scolarité 24-25 pour un enfant</t>
  </si>
  <si>
    <t>Pour l’année</t>
  </si>
  <si>
    <t>Par trimestre</t>
  </si>
  <si>
    <t>0-1999.9</t>
  </si>
  <si>
    <t>2000-2999.9</t>
  </si>
  <si>
    <t>3000-3999.9</t>
  </si>
  <si>
    <t>4000-4999.9</t>
  </si>
  <si>
    <t>5000-5999.9</t>
  </si>
  <si>
    <t>6000-6999.9</t>
  </si>
  <si>
    <t>7000-7999.9</t>
  </si>
  <si>
    <t>8000-8999.9</t>
  </si>
  <si>
    <t>9000-9999.9</t>
  </si>
  <si>
    <t>10000-10999.9</t>
  </si>
  <si>
    <t>11000-11999.9</t>
  </si>
  <si>
    <t>12000-12999.9</t>
  </si>
  <si>
    <t>13000-13999.9</t>
  </si>
  <si>
    <t>14000-14999.9</t>
  </si>
  <si>
    <t>15000–15999.9</t>
  </si>
  <si>
    <t>16000-16999.9</t>
  </si>
  <si>
    <t>17000-17999.9</t>
  </si>
  <si>
    <t>18000-18999.9</t>
  </si>
  <si>
    <t>19000-19999.9</t>
  </si>
  <si>
    <t>20000-20999.9</t>
  </si>
  <si>
    <t>21000-21999.9</t>
  </si>
  <si>
    <t>22000-et au-delà</t>
  </si>
  <si>
    <t>Frais pédagogiques 2024-2025</t>
  </si>
  <si>
    <t>Maternelle TPS/PS/MS</t>
  </si>
  <si>
    <t>Maternelle GS</t>
  </si>
  <si>
    <t>Elémentaire</t>
  </si>
  <si>
    <t>Collège</t>
  </si>
  <si>
    <t>Tarifs des voyages 2024-2025</t>
  </si>
  <si>
    <r>
      <t>1</t>
    </r>
    <r>
      <rPr>
        <b/>
        <vertAlign val="superscript"/>
        <sz val="11"/>
        <color rgb="FF000000"/>
        <rFont val="Alef"/>
      </rPr>
      <t>er</t>
    </r>
    <r>
      <rPr>
        <b/>
        <sz val="11"/>
        <color rgb="FF000000"/>
        <rFont val="Alef"/>
      </rPr>
      <t xml:space="preserve"> trimestre</t>
    </r>
  </si>
  <si>
    <r>
      <t>2</t>
    </r>
    <r>
      <rPr>
        <b/>
        <vertAlign val="superscript"/>
        <sz val="11"/>
        <color rgb="FF000000"/>
        <rFont val="Alef"/>
      </rPr>
      <t>ème</t>
    </r>
    <r>
      <rPr>
        <b/>
        <sz val="11"/>
        <color rgb="FF000000"/>
        <rFont val="Alef"/>
      </rPr>
      <t xml:space="preserve"> trimestre</t>
    </r>
  </si>
  <si>
    <r>
      <t>3</t>
    </r>
    <r>
      <rPr>
        <b/>
        <vertAlign val="superscript"/>
        <sz val="11"/>
        <color rgb="FF000000"/>
        <rFont val="Alef"/>
      </rPr>
      <t>ème</t>
    </r>
    <r>
      <rPr>
        <b/>
        <sz val="11"/>
        <color rgb="FF000000"/>
        <rFont val="Alef"/>
      </rPr>
      <t xml:space="preserve"> trimestre</t>
    </r>
  </si>
  <si>
    <t>Tarifs des repas pour les inscrits en demi-pension 2023-2024</t>
  </si>
  <si>
    <t>RFR par parts fiscales</t>
  </si>
  <si>
    <t>Maternelle</t>
  </si>
  <si>
    <t>Élémentaire</t>
  </si>
  <si>
    <r>
      <t xml:space="preserve">0 </t>
    </r>
    <r>
      <rPr>
        <sz val="11"/>
        <color rgb="FFFFFFFF"/>
        <rFont val="Times New Roman"/>
        <family val="1"/>
      </rPr>
      <t xml:space="preserve">– </t>
    </r>
    <r>
      <rPr>
        <sz val="11"/>
        <color rgb="FFFFFFFF"/>
        <rFont val="Alef"/>
      </rPr>
      <t>3 999.9</t>
    </r>
  </si>
  <si>
    <t>4000 - 5 199.9</t>
  </si>
  <si>
    <t>5 200 - 6 399.9</t>
  </si>
  <si>
    <t>6 400 – 7 999.9</t>
  </si>
  <si>
    <t>8 000 - 9 599.9</t>
  </si>
  <si>
    <t>9 600 – 10 999.9</t>
  </si>
  <si>
    <t>11 000 – 14 999.9</t>
  </si>
  <si>
    <t>15 000 – 19 999.9</t>
  </si>
  <si>
    <t>20 000 – 29 999.9</t>
  </si>
  <si>
    <t>30 000 et au-delà</t>
  </si>
  <si>
    <t>Trimestre</t>
  </si>
  <si>
    <t>T1</t>
  </si>
  <si>
    <t>T2</t>
  </si>
  <si>
    <t>T3</t>
  </si>
  <si>
    <t>Nombre de repas</t>
  </si>
  <si>
    <r>
      <t>1</t>
    </r>
    <r>
      <rPr>
        <b/>
        <vertAlign val="superscript"/>
        <sz val="11"/>
        <rFont val="Alef"/>
      </rPr>
      <t>er</t>
    </r>
    <r>
      <rPr>
        <b/>
        <sz val="11"/>
        <rFont val="Alef"/>
      </rPr>
      <t xml:space="preserve"> trimestre</t>
    </r>
  </si>
  <si>
    <r>
      <t>2</t>
    </r>
    <r>
      <rPr>
        <b/>
        <vertAlign val="superscript"/>
        <sz val="11"/>
        <rFont val="Alef"/>
      </rPr>
      <t>ème</t>
    </r>
    <r>
      <rPr>
        <b/>
        <sz val="11"/>
        <rFont val="Alef"/>
      </rPr>
      <t xml:space="preserve"> trimestre</t>
    </r>
  </si>
  <si>
    <r>
      <t>3</t>
    </r>
    <r>
      <rPr>
        <b/>
        <vertAlign val="superscript"/>
        <sz val="11"/>
        <rFont val="Alef"/>
      </rPr>
      <t>ème</t>
    </r>
    <r>
      <rPr>
        <b/>
        <sz val="11"/>
        <rFont val="Alef"/>
      </rPr>
      <t xml:space="preserve"> trimestre</t>
    </r>
  </si>
  <si>
    <t>quotient min</t>
  </si>
  <si>
    <t>Tarifs ALAE 2024-2025 par enfant</t>
  </si>
  <si>
    <t>RFR (€)</t>
  </si>
  <si>
    <t>0 à 4 754</t>
  </si>
  <si>
    <t>4755 à 9414</t>
  </si>
  <si>
    <t>9415 à 12750</t>
  </si>
  <si>
    <t>12751 à 16121</t>
  </si>
  <si>
    <t>16122 à 19514</t>
  </si>
  <si>
    <t>19515 à 23001</t>
  </si>
  <si>
    <t>23002 à 26621</t>
  </si>
  <si>
    <t>26622 à 30185</t>
  </si>
  <si>
    <t>30186 à 33844</t>
  </si>
  <si>
    <t>33845 à 37616</t>
  </si>
  <si>
    <t>37617 à 41390</t>
  </si>
  <si>
    <t>41391 à 45336</t>
  </si>
  <si>
    <t>45337 à 50283</t>
  </si>
  <si>
    <t>50284 à 54729</t>
  </si>
  <si>
    <t>59176 à 63622</t>
  </si>
  <si>
    <t>RFR min</t>
  </si>
  <si>
    <t>Oui</t>
  </si>
  <si>
    <t>Non</t>
  </si>
  <si>
    <t>Cantine</t>
  </si>
  <si>
    <t>Frais pédagogiques</t>
  </si>
  <si>
    <t>1er trimestre</t>
  </si>
  <si>
    <t>2ème trimestre</t>
  </si>
  <si>
    <t>3ème trimestre</t>
  </si>
  <si>
    <t>Année scolaire</t>
  </si>
  <si>
    <t>3ème enfant</t>
  </si>
  <si>
    <t>4ème enfant</t>
  </si>
  <si>
    <t>2ème enfant</t>
  </si>
  <si>
    <t>Maternelle - TPS</t>
  </si>
  <si>
    <t>Maternelle - PS</t>
  </si>
  <si>
    <t>Maternelle - MS</t>
  </si>
  <si>
    <t>Maternelle - GS</t>
  </si>
  <si>
    <t>Elémentaire - CP</t>
  </si>
  <si>
    <t>Elémentaire - CE1</t>
  </si>
  <si>
    <t>Elémentaire - CE2</t>
  </si>
  <si>
    <t>Elémentaire - CM1</t>
  </si>
  <si>
    <t>Elémentaire - CM2</t>
  </si>
  <si>
    <t>Collège - 6e</t>
  </si>
  <si>
    <t>Collège - 5e</t>
  </si>
  <si>
    <t>Collège - 4e</t>
  </si>
  <si>
    <t>Collège - 3e</t>
  </si>
  <si>
    <t>Montant des mensualités</t>
  </si>
  <si>
    <t>Revenu Fiscal de Référence par part</t>
  </si>
  <si>
    <t>oct-nov-déc</t>
  </si>
  <si>
    <t>janv-fév-mars</t>
  </si>
  <si>
    <t>avril-mai-juin</t>
  </si>
  <si>
    <t>-</t>
  </si>
  <si>
    <t xml:space="preserve">   FRAIS DU FOYER POUR L'ANNEE 2024-2025</t>
  </si>
  <si>
    <t>Niveau de classe</t>
  </si>
  <si>
    <t>Enfants à scolariser</t>
  </si>
  <si>
    <t>Choix</t>
  </si>
  <si>
    <t>Classe découverte MS-CM2 / Voyage 4e</t>
  </si>
  <si>
    <t>Primaire (de MS à CM2)
Classe découverte</t>
  </si>
  <si>
    <t>Collège (4e seulement)
Voyage</t>
  </si>
  <si>
    <t>Pique-nique</t>
  </si>
  <si>
    <t>Externe</t>
  </si>
  <si>
    <r>
      <rPr>
        <b/>
        <sz val="12"/>
        <color theme="0"/>
        <rFont val="Calibri"/>
        <family val="2"/>
        <scheme val="minor"/>
      </rPr>
      <t>Niveau de classe</t>
    </r>
    <r>
      <rPr>
        <sz val="12"/>
        <color theme="0"/>
        <rFont val="Calibri"/>
        <family val="2"/>
        <scheme val="minor"/>
      </rPr>
      <t xml:space="preserve">
du + agé-e au + jeune</t>
    </r>
  </si>
  <si>
    <r>
      <rPr>
        <b/>
        <sz val="12"/>
        <color theme="0"/>
        <rFont val="Calibri"/>
        <family val="2"/>
        <scheme val="minor"/>
      </rPr>
      <t>Cantine</t>
    </r>
    <r>
      <rPr>
        <sz val="12"/>
        <color theme="0"/>
        <rFont val="Calibri"/>
        <family val="2"/>
        <scheme val="minor"/>
      </rPr>
      <t xml:space="preserve">
4 jours par semaine</t>
    </r>
  </si>
  <si>
    <t>Demi-pension</t>
  </si>
  <si>
    <t>Montants pour 4 repas par semaine en demi-pension en Maternelle</t>
  </si>
  <si>
    <t>Montants pour 4 repas par semaine en demi-pension en Elementaire</t>
  </si>
  <si>
    <t>Montants pour 4 repas par semaine en demi-pension au Collège</t>
  </si>
  <si>
    <t>Tarif journalier hors repas</t>
  </si>
  <si>
    <t>Quotient CAF</t>
  </si>
  <si>
    <t xml:space="preserve"> Mercredi (hors repas)</t>
  </si>
  <si>
    <t>Vacances (sans l'aide CAF) (hors repas)</t>
  </si>
  <si>
    <t>Vacances (aide déduite)</t>
  </si>
  <si>
    <t>(hors repas)</t>
  </si>
  <si>
    <t>&lt;300</t>
  </si>
  <si>
    <t>301-400</t>
  </si>
  <si>
    <t>401-600</t>
  </si>
  <si>
    <t>601-800</t>
  </si>
  <si>
    <t>801-1000</t>
  </si>
  <si>
    <t>1001-1500</t>
  </si>
  <si>
    <t>1501-2000</t>
  </si>
  <si>
    <t>&gt;2000</t>
  </si>
  <si>
    <t>54730 à 59175</t>
  </si>
  <si>
    <t>Pour chaque enfant d'une famille ayant 3 enfants inscrits</t>
  </si>
  <si>
    <t>Pour chaque enfant d'une famille ayant 2 enfants inscrits</t>
  </si>
  <si>
    <t>Pour 1 enfant inscrit</t>
  </si>
  <si>
    <t>Estimation totale des frais***</t>
  </si>
  <si>
    <t>Inscrits ALAE</t>
  </si>
  <si>
    <t>Adhésion ANEN élève</t>
  </si>
  <si>
    <t>Scolarité</t>
  </si>
  <si>
    <t>Scolarité (80%)</t>
  </si>
  <si>
    <t>Scolarité (70%)</t>
  </si>
  <si>
    <t>Pourcentage relatif à la situation familiale appliqué aux frais de scolarité</t>
  </si>
  <si>
    <t>Matin</t>
  </si>
  <si>
    <t>Midi</t>
  </si>
  <si>
    <t>Soir</t>
  </si>
  <si>
    <t>Matin + Midi</t>
  </si>
  <si>
    <t>Midi + Soir</t>
  </si>
  <si>
    <t>Matin + Soir</t>
  </si>
  <si>
    <t>Matin + Midi + Soir</t>
  </si>
  <si>
    <t>Durée</t>
  </si>
  <si>
    <t>Plages horaires</t>
  </si>
  <si>
    <t>Prorata</t>
  </si>
  <si>
    <t>ALAE</t>
  </si>
  <si>
    <r>
      <rPr>
        <b/>
        <sz val="12"/>
        <color theme="0"/>
        <rFont val="Calibri"/>
        <family val="2"/>
        <scheme val="minor"/>
      </rPr>
      <t>ALAE primaire</t>
    </r>
    <r>
      <rPr>
        <sz val="12"/>
        <color theme="0"/>
        <rFont val="Calibri"/>
        <family val="2"/>
        <scheme val="minor"/>
      </rPr>
      <t xml:space="preserve">
matin / midi / soir</t>
    </r>
  </si>
  <si>
    <t>Prorata ALAE</t>
  </si>
  <si>
    <t>1er enfant (+ agé-e)</t>
  </si>
  <si>
    <t>Vous êtes parent séparé de l'autre parent et vous partagez les frais et la garde du/des enfant(s) inscrit(s)</t>
  </si>
  <si>
    <t>Facultatif : vous souhaitez une adhésion à l'association AEN La Prairie pour chaque parent (si en couple)</t>
  </si>
  <si>
    <t>** Les tarifs cantine donnés ici à titre indicatif sont calculés pour 4 jours par semaine au même régime toute l'année (demi-pension ou pique-nique). Dans le cas de combinaison de régimes différents dans la semaine, les frais seront adaptés. Ils ne peuvent pas être simulés par ce calculateur.</t>
  </si>
  <si>
    <t>Adhésion AEN La Prairie facultative</t>
  </si>
  <si>
    <t>Adhésion AEN La Prairie obligatoire</t>
  </si>
  <si>
    <t>*** L'estimation totale des frais de ce calculateur ne prend pas en compte les frais éventuels de centre de loisirs ALSH des mercredis après-midi et vacances scolaires qui dépendent du quotient CAF, les régularisations de repas, les achats de livres (hors manuels scolaires) pour les élèves du collège, ...</t>
  </si>
  <si>
    <t>Pour toutes question, merci de contacter le service comptabilité.</t>
  </si>
  <si>
    <t xml:space="preserve">* En cas de famille recomposée, le foyer inclut les revenus et le nombre de parts du/de la concubin-e et son/ses enfant(s) éventuel(s). </t>
  </si>
  <si>
    <t xml:space="preserve"> &gt;  INFORMATIONS DE VOTRE FOYER A RENSEIGNER</t>
  </si>
  <si>
    <t xml:space="preserve"> &gt;  VOS INFORMATIONS CALCULEES</t>
  </si>
  <si>
    <t xml:space="preserve"> &gt;  FRAIS DU FOYER POUR L'ANNEE 2024-2025</t>
  </si>
  <si>
    <t>Des précisions identifiés par des astérisques sont expliquées en bas de cette page.</t>
  </si>
  <si>
    <t>&lt;Classe à choisir&gt;</t>
  </si>
  <si>
    <t>Classes</t>
  </si>
  <si>
    <t>Ce calculateur permet d'estimer les frais de scolarisation de vos enfants à La Prairie pour l'année scolaire 2024-2025 à partir des informations de votre foyer.</t>
  </si>
  <si>
    <t>63623 à 68068</t>
  </si>
  <si>
    <t>68068 et au-delà</t>
  </si>
  <si>
    <t>Revenu Fiscal de Référence du foyer, indiqué dans votre dernier avis d'impôt sur les revenus*</t>
  </si>
  <si>
    <t>Nombre de parts fiscales du foyer, indiqué dans votre dernier avis d'impôt sur les revenus*</t>
  </si>
  <si>
    <t>Vous êtes parent isolé (case T cochée dans votre déclaration de revenus)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</si>
</sst>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h:mm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lef"/>
    </font>
    <font>
      <b/>
      <sz val="12"/>
      <color rgb="FFFFFFFF"/>
      <name val="Alef"/>
    </font>
    <font>
      <b/>
      <sz val="11"/>
      <color rgb="FF000000"/>
      <name val="Alef"/>
    </font>
    <font>
      <sz val="12"/>
      <color rgb="FF000000"/>
      <name val="Alef"/>
    </font>
    <font>
      <sz val="11"/>
      <color rgb="FF000000"/>
      <name val="Alef"/>
    </font>
    <font>
      <sz val="11"/>
      <color rgb="FFFFFFFF"/>
      <name val="Alef"/>
    </font>
    <font>
      <b/>
      <vertAlign val="superscript"/>
      <sz val="11"/>
      <color rgb="FF000000"/>
      <name val="Alef"/>
    </font>
    <font>
      <sz val="11"/>
      <color rgb="FFFFFFFF"/>
      <name val="Times New Roman"/>
      <family val="1"/>
    </font>
    <font>
      <b/>
      <sz val="11"/>
      <name val="Alef"/>
    </font>
    <font>
      <b/>
      <vertAlign val="superscript"/>
      <sz val="11"/>
      <name val="Alef"/>
    </font>
    <font>
      <sz val="12"/>
      <color rgb="FFFFFFFF"/>
      <name val="Alef"/>
    </font>
    <font>
      <b/>
      <sz val="12"/>
      <color rgb="FF000000"/>
      <name val="Alef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8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6" fontId="5" fillId="3" borderId="7" xfId="0" applyNumberFormat="1" applyFont="1" applyFill="1" applyBorder="1" applyAlignment="1">
      <alignment horizontal="center" vertical="center" wrapText="1"/>
    </xf>
    <xf numFmtId="8" fontId="5" fillId="4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6" fontId="6" fillId="3" borderId="7" xfId="0" applyNumberFormat="1" applyFont="1" applyFill="1" applyBorder="1" applyAlignment="1">
      <alignment horizontal="center" vertical="center" wrapText="1"/>
    </xf>
    <xf numFmtId="6" fontId="6" fillId="4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6" fontId="6" fillId="3" borderId="8" xfId="0" applyNumberFormat="1" applyFont="1" applyFill="1" applyBorder="1" applyAlignment="1">
      <alignment horizontal="center" vertical="center" wrapText="1"/>
    </xf>
    <xf numFmtId="6" fontId="6" fillId="4" borderId="8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4" fontId="0" fillId="0" borderId="0" xfId="0" applyNumberFormat="1"/>
    <xf numFmtId="164" fontId="6" fillId="4" borderId="7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164" fontId="18" fillId="0" borderId="0" xfId="0" applyNumberFormat="1" applyFont="1" applyAlignment="1">
      <alignment horizontal="center"/>
    </xf>
    <xf numFmtId="0" fontId="14" fillId="14" borderId="15" xfId="0" applyFont="1" applyFill="1" applyBorder="1"/>
    <xf numFmtId="164" fontId="14" fillId="10" borderId="0" xfId="0" applyNumberFormat="1" applyFont="1" applyFill="1" applyAlignment="1">
      <alignment horizontal="center"/>
    </xf>
    <xf numFmtId="164" fontId="14" fillId="14" borderId="10" xfId="0" applyNumberFormat="1" applyFont="1" applyFill="1" applyBorder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0" fontId="14" fillId="13" borderId="15" xfId="0" applyFont="1" applyFill="1" applyBorder="1"/>
    <xf numFmtId="164" fontId="14" fillId="13" borderId="10" xfId="0" applyNumberFormat="1" applyFont="1" applyFill="1" applyBorder="1" applyAlignment="1">
      <alignment horizontal="center"/>
    </xf>
    <xf numFmtId="0" fontId="14" fillId="9" borderId="15" xfId="0" applyFont="1" applyFill="1" applyBorder="1"/>
    <xf numFmtId="164" fontId="14" fillId="8" borderId="0" xfId="0" applyNumberFormat="1" applyFont="1" applyFill="1" applyAlignment="1">
      <alignment horizontal="center"/>
    </xf>
    <xf numFmtId="164" fontId="14" fillId="9" borderId="10" xfId="0" applyNumberFormat="1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/>
    </xf>
    <xf numFmtId="0" fontId="16" fillId="18" borderId="14" xfId="0" applyFont="1" applyFill="1" applyBorder="1" applyAlignment="1">
      <alignment horizontal="center"/>
    </xf>
    <xf numFmtId="0" fontId="18" fillId="18" borderId="16" xfId="0" applyFont="1" applyFill="1" applyBorder="1"/>
    <xf numFmtId="164" fontId="18" fillId="18" borderId="11" xfId="0" applyNumberFormat="1" applyFont="1" applyFill="1" applyBorder="1" applyAlignment="1">
      <alignment horizontal="center"/>
    </xf>
    <xf numFmtId="164" fontId="18" fillId="18" borderId="17" xfId="0" applyNumberFormat="1" applyFont="1" applyFill="1" applyBorder="1" applyAlignment="1">
      <alignment horizontal="center"/>
    </xf>
    <xf numFmtId="0" fontId="17" fillId="19" borderId="13" xfId="0" applyFont="1" applyFill="1" applyBorder="1" applyAlignment="1">
      <alignment horizontal="center"/>
    </xf>
    <xf numFmtId="0" fontId="16" fillId="19" borderId="16" xfId="0" applyFont="1" applyFill="1" applyBorder="1"/>
    <xf numFmtId="164" fontId="16" fillId="19" borderId="11" xfId="0" applyNumberFormat="1" applyFont="1" applyFill="1" applyBorder="1" applyAlignment="1">
      <alignment horizontal="center"/>
    </xf>
    <xf numFmtId="164" fontId="16" fillId="19" borderId="17" xfId="0" applyNumberFormat="1" applyFont="1" applyFill="1" applyBorder="1" applyAlignment="1">
      <alignment horizontal="center"/>
    </xf>
    <xf numFmtId="0" fontId="17" fillId="20" borderId="13" xfId="0" applyFont="1" applyFill="1" applyBorder="1" applyAlignment="1">
      <alignment horizontal="center"/>
    </xf>
    <xf numFmtId="0" fontId="18" fillId="20" borderId="16" xfId="0" applyFont="1" applyFill="1" applyBorder="1"/>
    <xf numFmtId="164" fontId="18" fillId="20" borderId="11" xfId="0" applyNumberFormat="1" applyFont="1" applyFill="1" applyBorder="1" applyAlignment="1">
      <alignment horizontal="center"/>
    </xf>
    <xf numFmtId="164" fontId="18" fillId="20" borderId="17" xfId="0" applyNumberFormat="1" applyFont="1" applyFill="1" applyBorder="1" applyAlignment="1">
      <alignment horizontal="center"/>
    </xf>
    <xf numFmtId="0" fontId="17" fillId="21" borderId="13" xfId="0" applyFont="1" applyFill="1" applyBorder="1" applyAlignment="1">
      <alignment horizontal="center"/>
    </xf>
    <xf numFmtId="0" fontId="18" fillId="21" borderId="16" xfId="0" applyFont="1" applyFill="1" applyBorder="1"/>
    <xf numFmtId="164" fontId="18" fillId="21" borderId="11" xfId="0" applyNumberFormat="1" applyFont="1" applyFill="1" applyBorder="1" applyAlignment="1">
      <alignment horizontal="center"/>
    </xf>
    <xf numFmtId="164" fontId="18" fillId="21" borderId="17" xfId="0" applyNumberFormat="1" applyFont="1" applyFill="1" applyBorder="1" applyAlignment="1">
      <alignment horizontal="center"/>
    </xf>
    <xf numFmtId="0" fontId="14" fillId="15" borderId="15" xfId="0" applyFont="1" applyFill="1" applyBorder="1"/>
    <xf numFmtId="164" fontId="14" fillId="15" borderId="10" xfId="0" applyNumberFormat="1" applyFont="1" applyFill="1" applyBorder="1" applyAlignment="1">
      <alignment horizontal="center"/>
    </xf>
    <xf numFmtId="164" fontId="14" fillId="11" borderId="0" xfId="0" applyNumberFormat="1" applyFont="1" applyFill="1" applyAlignment="1">
      <alignment horizontal="center"/>
    </xf>
    <xf numFmtId="164" fontId="14" fillId="17" borderId="0" xfId="0" applyNumberFormat="1" applyFont="1" applyFill="1" applyAlignment="1">
      <alignment horizontal="center"/>
    </xf>
    <xf numFmtId="0" fontId="14" fillId="22" borderId="15" xfId="0" applyFont="1" applyFill="1" applyBorder="1"/>
    <xf numFmtId="0" fontId="16" fillId="21" borderId="14" xfId="0" applyFont="1" applyFill="1" applyBorder="1" applyAlignment="1">
      <alignment horizontal="center"/>
    </xf>
    <xf numFmtId="0" fontId="16" fillId="20" borderId="14" xfId="0" applyFont="1" applyFill="1" applyBorder="1" applyAlignment="1">
      <alignment horizontal="center"/>
    </xf>
    <xf numFmtId="0" fontId="16" fillId="19" borderId="14" xfId="0" applyFon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164" fontId="14" fillId="22" borderId="10" xfId="0" applyNumberFormat="1" applyFont="1" applyFill="1" applyBorder="1" applyAlignment="1">
      <alignment horizontal="center"/>
    </xf>
    <xf numFmtId="6" fontId="15" fillId="13" borderId="18" xfId="0" applyNumberFormat="1" applyFont="1" applyFill="1" applyBorder="1" applyAlignment="1">
      <alignment horizontal="center" vertical="center" wrapText="1"/>
    </xf>
    <xf numFmtId="6" fontId="15" fillId="9" borderId="18" xfId="0" applyNumberFormat="1" applyFont="1" applyFill="1" applyBorder="1" applyAlignment="1">
      <alignment horizontal="center" vertical="center" wrapText="1"/>
    </xf>
    <xf numFmtId="6" fontId="15" fillId="15" borderId="18" xfId="0" applyNumberFormat="1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16" borderId="13" xfId="0" applyFont="1" applyFill="1" applyBorder="1" applyAlignment="1">
      <alignment horizontal="center"/>
    </xf>
    <xf numFmtId="0" fontId="14" fillId="22" borderId="16" xfId="0" applyFont="1" applyFill="1" applyBorder="1"/>
    <xf numFmtId="164" fontId="14" fillId="17" borderId="11" xfId="0" applyNumberFormat="1" applyFont="1" applyFill="1" applyBorder="1" applyAlignment="1">
      <alignment horizontal="center"/>
    </xf>
    <xf numFmtId="164" fontId="14" fillId="22" borderId="17" xfId="0" applyNumberFormat="1" applyFont="1" applyFill="1" applyBorder="1" applyAlignment="1">
      <alignment horizontal="center"/>
    </xf>
    <xf numFmtId="0" fontId="14" fillId="16" borderId="0" xfId="0" applyFont="1" applyFill="1" applyAlignment="1">
      <alignment wrapText="1"/>
    </xf>
    <xf numFmtId="0" fontId="14" fillId="16" borderId="0" xfId="0" applyFont="1" applyFill="1" applyAlignment="1">
      <alignment horizontal="center" wrapText="1"/>
    </xf>
    <xf numFmtId="0" fontId="0" fillId="16" borderId="0" xfId="0" applyFill="1" applyAlignment="1">
      <alignment wrapText="1"/>
    </xf>
    <xf numFmtId="0" fontId="18" fillId="0" borderId="13" xfId="0" applyFont="1" applyBorder="1"/>
    <xf numFmtId="164" fontId="17" fillId="17" borderId="11" xfId="0" applyNumberFormat="1" applyFont="1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6" fillId="22" borderId="0" xfId="0" applyFont="1" applyFill="1"/>
    <xf numFmtId="0" fontId="17" fillId="22" borderId="11" xfId="0" applyFont="1" applyFill="1" applyBorder="1"/>
    <xf numFmtId="164" fontId="16" fillId="17" borderId="0" xfId="0" applyNumberFormat="1" applyFont="1" applyFill="1" applyAlignment="1">
      <alignment horizontal="center"/>
    </xf>
    <xf numFmtId="164" fontId="16" fillId="22" borderId="10" xfId="0" applyNumberFormat="1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6" fontId="15" fillId="14" borderId="16" xfId="0" applyNumberFormat="1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left"/>
    </xf>
    <xf numFmtId="0" fontId="16" fillId="19" borderId="12" xfId="0" applyFont="1" applyFill="1" applyBorder="1" applyAlignment="1">
      <alignment horizontal="left"/>
    </xf>
    <xf numFmtId="0" fontId="16" fillId="20" borderId="12" xfId="0" applyFont="1" applyFill="1" applyBorder="1" applyAlignment="1">
      <alignment horizontal="left"/>
    </xf>
    <xf numFmtId="0" fontId="16" fillId="21" borderId="12" xfId="0" applyFont="1" applyFill="1" applyBorder="1" applyAlignment="1">
      <alignment horizontal="left"/>
    </xf>
    <xf numFmtId="0" fontId="14" fillId="0" borderId="21" xfId="0" applyFont="1" applyBorder="1"/>
    <xf numFmtId="0" fontId="14" fillId="0" borderId="22" xfId="0" applyFont="1" applyBorder="1"/>
    <xf numFmtId="0" fontId="14" fillId="16" borderId="11" xfId="0" applyFont="1" applyFill="1" applyBorder="1" applyAlignment="1">
      <alignment wrapText="1"/>
    </xf>
    <xf numFmtId="6" fontId="20" fillId="16" borderId="0" xfId="0" applyNumberFormat="1" applyFont="1" applyFill="1" applyAlignment="1">
      <alignment horizontal="center" vertical="center" wrapText="1"/>
    </xf>
    <xf numFmtId="6" fontId="19" fillId="16" borderId="0" xfId="0" applyNumberFormat="1" applyFont="1" applyFill="1" applyAlignment="1">
      <alignment horizontal="center" vertical="center" wrapText="1"/>
    </xf>
    <xf numFmtId="165" fontId="14" fillId="17" borderId="0" xfId="0" applyNumberFormat="1" applyFont="1" applyFill="1" applyAlignment="1">
      <alignment horizontal="center"/>
    </xf>
    <xf numFmtId="9" fontId="14" fillId="17" borderId="0" xfId="1" applyFont="1" applyFill="1" applyBorder="1" applyAlignment="1">
      <alignment horizontal="center"/>
    </xf>
    <xf numFmtId="0" fontId="7" fillId="2" borderId="24" xfId="0" applyFont="1" applyFill="1" applyBorder="1" applyAlignment="1">
      <alignment vertical="center" wrapText="1"/>
    </xf>
    <xf numFmtId="0" fontId="23" fillId="0" borderId="0" xfId="0" applyFont="1"/>
    <xf numFmtId="0" fontId="14" fillId="0" borderId="14" xfId="0" applyFont="1" applyBorder="1"/>
    <xf numFmtId="0" fontId="14" fillId="0" borderId="10" xfId="0" applyFont="1" applyBorder="1"/>
    <xf numFmtId="0" fontId="14" fillId="0" borderId="17" xfId="0" applyFont="1" applyBorder="1"/>
    <xf numFmtId="0" fontId="12" fillId="2" borderId="2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6" fontId="15" fillId="22" borderId="0" xfId="0" applyNumberFormat="1" applyFont="1" applyFill="1" applyAlignment="1">
      <alignment horizontal="left" vertical="center" wrapText="1"/>
    </xf>
    <xf numFmtId="6" fontId="15" fillId="22" borderId="0" xfId="0" applyNumberFormat="1" applyFont="1" applyFill="1" applyAlignment="1">
      <alignment horizontal="left" vertical="center"/>
    </xf>
    <xf numFmtId="0" fontId="14" fillId="0" borderId="26" xfId="0" applyFont="1" applyBorder="1"/>
    <xf numFmtId="0" fontId="14" fillId="0" borderId="20" xfId="0" applyFont="1" applyBorder="1"/>
    <xf numFmtId="0" fontId="14" fillId="0" borderId="19" xfId="0" applyFont="1" applyBorder="1" applyAlignment="1" applyProtection="1">
      <alignment horizontal="center"/>
      <protection locked="0"/>
    </xf>
    <xf numFmtId="0" fontId="24" fillId="0" borderId="0" xfId="0" applyFont="1"/>
    <xf numFmtId="0" fontId="18" fillId="0" borderId="26" xfId="0" applyFont="1" applyBorder="1"/>
    <xf numFmtId="166" fontId="14" fillId="0" borderId="26" xfId="0" applyNumberFormat="1" applyFont="1" applyBorder="1"/>
    <xf numFmtId="9" fontId="14" fillId="0" borderId="26" xfId="1" applyFont="1" applyBorder="1"/>
    <xf numFmtId="165" fontId="14" fillId="0" borderId="19" xfId="0" applyNumberFormat="1" applyFont="1" applyBorder="1" applyAlignment="1" applyProtection="1">
      <alignment horizontal="center"/>
      <protection locked="0"/>
    </xf>
    <xf numFmtId="2" fontId="14" fillId="0" borderId="19" xfId="0" applyNumberFormat="1" applyFont="1" applyBorder="1" applyAlignment="1" applyProtection="1">
      <alignment horizontal="center"/>
      <protection locked="0"/>
    </xf>
    <xf numFmtId="6" fontId="0" fillId="0" borderId="0" xfId="0" applyNumberFormat="1"/>
    <xf numFmtId="0" fontId="21" fillId="0" borderId="0" xfId="0" applyFont="1" applyAlignment="1">
      <alignment vertical="center" wrapText="1"/>
    </xf>
    <xf numFmtId="6" fontId="15" fillId="0" borderId="0" xfId="0" applyNumberFormat="1" applyFont="1" applyAlignment="1">
      <alignment vertical="center" wrapText="1"/>
    </xf>
    <xf numFmtId="0" fontId="14" fillId="0" borderId="27" xfId="0" applyFont="1" applyBorder="1"/>
    <xf numFmtId="0" fontId="0" fillId="0" borderId="20" xfId="0" applyBorder="1"/>
    <xf numFmtId="0" fontId="0" fillId="0" borderId="13" xfId="0" applyBorder="1"/>
    <xf numFmtId="0" fontId="23" fillId="0" borderId="0" xfId="0" applyFont="1" applyAlignment="1">
      <alignment horizontal="left" wrapText="1"/>
    </xf>
    <xf numFmtId="0" fontId="22" fillId="16" borderId="13" xfId="0" applyFont="1" applyFill="1" applyBorder="1" applyAlignment="1">
      <alignment horizontal="left" vertical="center"/>
    </xf>
    <xf numFmtId="0" fontId="22" fillId="16" borderId="0" xfId="0" applyFont="1" applyFill="1" applyAlignment="1">
      <alignment horizontal="left" vertical="center"/>
    </xf>
    <xf numFmtId="0" fontId="23" fillId="23" borderId="12" xfId="0" applyFont="1" applyFill="1" applyBorder="1" applyAlignment="1">
      <alignment horizontal="left" wrapText="1"/>
    </xf>
    <xf numFmtId="0" fontId="23" fillId="23" borderId="13" xfId="0" applyFont="1" applyFill="1" applyBorder="1" applyAlignment="1">
      <alignment horizontal="left" wrapText="1"/>
    </xf>
    <xf numFmtId="0" fontId="23" fillId="23" borderId="14" xfId="0" applyFont="1" applyFill="1" applyBorder="1" applyAlignment="1">
      <alignment horizontal="left" wrapText="1"/>
    </xf>
    <xf numFmtId="0" fontId="23" fillId="23" borderId="15" xfId="0" applyFont="1" applyFill="1" applyBorder="1" applyAlignment="1">
      <alignment horizontal="left" wrapText="1"/>
    </xf>
    <xf numFmtId="0" fontId="23" fillId="23" borderId="0" xfId="0" applyFont="1" applyFill="1" applyAlignment="1">
      <alignment horizontal="left" wrapText="1"/>
    </xf>
    <xf numFmtId="0" fontId="23" fillId="23" borderId="10" xfId="0" applyFont="1" applyFill="1" applyBorder="1" applyAlignment="1">
      <alignment horizontal="left" wrapText="1"/>
    </xf>
    <xf numFmtId="0" fontId="23" fillId="23" borderId="16" xfId="0" applyFont="1" applyFill="1" applyBorder="1" applyAlignment="1">
      <alignment horizontal="left" wrapText="1"/>
    </xf>
    <xf numFmtId="0" fontId="23" fillId="23" borderId="11" xfId="0" applyFont="1" applyFill="1" applyBorder="1" applyAlignment="1">
      <alignment horizontal="left" wrapText="1"/>
    </xf>
    <xf numFmtId="0" fontId="23" fillId="23" borderId="17" xfId="0" applyFont="1" applyFill="1" applyBorder="1" applyAlignment="1">
      <alignment horizontal="left" wrapText="1"/>
    </xf>
    <xf numFmtId="6" fontId="15" fillId="22" borderId="0" xfId="0" applyNumberFormat="1" applyFont="1" applyFill="1" applyAlignment="1">
      <alignment horizontal="left" vertical="center" wrapText="1"/>
    </xf>
    <xf numFmtId="6" fontId="15" fillId="22" borderId="23" xfId="0" applyNumberFormat="1" applyFont="1" applyFill="1" applyBorder="1" applyAlignment="1">
      <alignment horizontal="left" vertical="center" wrapText="1"/>
    </xf>
    <xf numFmtId="0" fontId="21" fillId="16" borderId="0" xfId="0" applyFont="1" applyFill="1" applyAlignment="1">
      <alignment horizontal="left" vertical="center" wrapText="1"/>
    </xf>
    <xf numFmtId="6" fontId="15" fillId="22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9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13">
    <dxf>
      <font>
        <b val="0"/>
        <i val="0"/>
      </font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ont>
        <b val="0"/>
        <i val="0"/>
      </font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O70"/>
  <sheetViews>
    <sheetView tabSelected="1" workbookViewId="0">
      <selection activeCell="D6" sqref="D6"/>
    </sheetView>
  </sheetViews>
  <sheetFormatPr baseColWidth="10" defaultColWidth="9.109375" defaultRowHeight="15.6" x14ac:dyDescent="0.3"/>
  <cols>
    <col min="1" max="1" width="23.33203125" style="26" customWidth="1"/>
    <col min="2" max="2" width="49.44140625" customWidth="1"/>
    <col min="3" max="3" width="27.109375" style="30" customWidth="1"/>
    <col min="4" max="4" width="20.5546875" customWidth="1"/>
    <col min="5" max="5" width="19.6640625" customWidth="1"/>
    <col min="6" max="6" width="19.6640625" style="29" customWidth="1"/>
    <col min="7" max="7" width="10.33203125" bestFit="1" customWidth="1"/>
    <col min="11" max="11" width="18.88671875" hidden="1" customWidth="1"/>
    <col min="12" max="12" width="7.5546875" hidden="1" customWidth="1"/>
    <col min="13" max="13" width="13.44140625" hidden="1" customWidth="1"/>
    <col min="14" max="14" width="21.44140625" style="28" hidden="1" customWidth="1"/>
    <col min="15" max="15" width="14" style="28" hidden="1" customWidth="1"/>
  </cols>
  <sheetData>
    <row r="1" spans="1:15" ht="15.75" customHeight="1" x14ac:dyDescent="0.3">
      <c r="A1" s="128" t="s">
        <v>174</v>
      </c>
      <c r="B1" s="129"/>
      <c r="C1" s="129"/>
      <c r="D1" s="129"/>
      <c r="E1" s="129"/>
      <c r="F1" s="130"/>
    </row>
    <row r="2" spans="1:15" ht="15.75" customHeight="1" x14ac:dyDescent="0.3">
      <c r="A2" s="131" t="s">
        <v>171</v>
      </c>
      <c r="B2" s="132"/>
      <c r="C2" s="132"/>
      <c r="D2" s="132"/>
      <c r="E2" s="132"/>
      <c r="F2" s="133"/>
    </row>
    <row r="3" spans="1:15" ht="15.75" customHeight="1" x14ac:dyDescent="0.3">
      <c r="A3" s="134" t="s">
        <v>166</v>
      </c>
      <c r="B3" s="135"/>
      <c r="C3" s="135"/>
      <c r="D3" s="135"/>
      <c r="E3" s="135"/>
      <c r="F3" s="136"/>
    </row>
    <row r="4" spans="1:15" x14ac:dyDescent="0.3">
      <c r="A4" s="27"/>
      <c r="B4" s="28"/>
      <c r="C4" s="29"/>
      <c r="D4" s="28"/>
      <c r="E4" s="28"/>
      <c r="G4" s="28"/>
      <c r="H4" s="28"/>
      <c r="K4" s="31" t="s">
        <v>107</v>
      </c>
      <c r="L4" s="31"/>
      <c r="M4" s="31" t="s">
        <v>109</v>
      </c>
      <c r="N4" s="31" t="s">
        <v>78</v>
      </c>
    </row>
    <row r="5" spans="1:15" ht="18.600000000000001" customHeight="1" thickBot="1" x14ac:dyDescent="0.35">
      <c r="A5" s="139" t="s">
        <v>168</v>
      </c>
      <c r="B5" s="139"/>
      <c r="C5" s="139"/>
      <c r="D5" s="139"/>
      <c r="E5" s="28"/>
      <c r="G5" s="28"/>
      <c r="H5" s="28"/>
      <c r="K5" s="123" t="s">
        <v>172</v>
      </c>
      <c r="L5" s="124"/>
      <c r="M5" s="111" t="s">
        <v>76</v>
      </c>
      <c r="N5" s="111" t="s">
        <v>114</v>
      </c>
    </row>
    <row r="6" spans="1:15" ht="16.95" customHeight="1" thickTop="1" thickBot="1" x14ac:dyDescent="0.35">
      <c r="A6" s="137" t="s">
        <v>177</v>
      </c>
      <c r="B6" s="137"/>
      <c r="C6" s="138"/>
      <c r="D6" s="117">
        <v>30000</v>
      </c>
      <c r="E6" s="28"/>
      <c r="G6" s="28"/>
      <c r="H6" s="28"/>
      <c r="K6" s="95" t="s">
        <v>99</v>
      </c>
      <c r="L6" s="28"/>
      <c r="M6" s="94" t="s">
        <v>77</v>
      </c>
      <c r="N6" s="95" t="s">
        <v>117</v>
      </c>
    </row>
    <row r="7" spans="1:15" ht="16.95" customHeight="1" thickTop="1" thickBot="1" x14ac:dyDescent="0.35">
      <c r="A7" s="137" t="s">
        <v>178</v>
      </c>
      <c r="B7" s="137"/>
      <c r="C7" s="138"/>
      <c r="D7" s="118">
        <v>3</v>
      </c>
      <c r="E7" s="28"/>
      <c r="G7" s="28"/>
      <c r="H7" s="28"/>
      <c r="K7" s="95" t="s">
        <v>98</v>
      </c>
      <c r="L7" s="28"/>
      <c r="M7" s="28"/>
      <c r="N7" s="94" t="s">
        <v>113</v>
      </c>
    </row>
    <row r="8" spans="1:15" ht="16.95" customHeight="1" thickTop="1" thickBot="1" x14ac:dyDescent="0.35">
      <c r="A8" s="137" t="s">
        <v>179</v>
      </c>
      <c r="B8" s="137"/>
      <c r="C8" s="138"/>
      <c r="D8" s="112" t="s">
        <v>77</v>
      </c>
      <c r="E8" s="28"/>
      <c r="G8" s="28"/>
      <c r="H8" s="28"/>
      <c r="K8" s="95" t="s">
        <v>97</v>
      </c>
      <c r="L8" s="104"/>
      <c r="M8" s="122">
        <f>IF(D8="Oui",0.9,1)</f>
        <v>1</v>
      </c>
    </row>
    <row r="9" spans="1:15" ht="16.95" customHeight="1" thickTop="1" thickBot="1" x14ac:dyDescent="0.35">
      <c r="A9" s="137" t="s">
        <v>160</v>
      </c>
      <c r="B9" s="137"/>
      <c r="C9" s="138"/>
      <c r="D9" s="112" t="s">
        <v>77</v>
      </c>
      <c r="E9" s="28"/>
      <c r="G9" s="28"/>
      <c r="H9" s="28"/>
      <c r="K9" s="95" t="s">
        <v>96</v>
      </c>
      <c r="L9" s="104"/>
      <c r="M9" s="122">
        <f>IF(D9="Oui",0.5,1)</f>
        <v>1</v>
      </c>
    </row>
    <row r="10" spans="1:15" ht="16.95" customHeight="1" thickTop="1" thickBot="1" x14ac:dyDescent="0.35">
      <c r="A10" s="109" t="s">
        <v>161</v>
      </c>
      <c r="B10" s="108"/>
      <c r="C10" s="108"/>
      <c r="D10" s="112" t="s">
        <v>77</v>
      </c>
      <c r="E10" s="28"/>
      <c r="G10" s="28"/>
      <c r="H10" s="28"/>
      <c r="K10" s="95" t="s">
        <v>95</v>
      </c>
      <c r="L10" s="28"/>
    </row>
    <row r="11" spans="1:15" ht="32.4" thickTop="1" thickBot="1" x14ac:dyDescent="0.35">
      <c r="A11" s="97" t="s">
        <v>108</v>
      </c>
      <c r="B11" s="98" t="s">
        <v>115</v>
      </c>
      <c r="C11" s="98" t="s">
        <v>116</v>
      </c>
      <c r="D11" s="98" t="s">
        <v>157</v>
      </c>
      <c r="E11" s="28"/>
      <c r="G11" s="28"/>
      <c r="H11" s="28"/>
      <c r="K11" s="95" t="s">
        <v>94</v>
      </c>
      <c r="L11" s="31" t="s">
        <v>173</v>
      </c>
      <c r="M11" s="31" t="s">
        <v>140</v>
      </c>
      <c r="N11" s="31" t="s">
        <v>156</v>
      </c>
      <c r="O11" s="31" t="s">
        <v>158</v>
      </c>
    </row>
    <row r="12" spans="1:15" ht="16.8" thickTop="1" thickBot="1" x14ac:dyDescent="0.35">
      <c r="A12" s="89" t="s">
        <v>159</v>
      </c>
      <c r="B12" s="112" t="s">
        <v>172</v>
      </c>
      <c r="C12" s="112" t="s">
        <v>114</v>
      </c>
      <c r="D12" s="112" t="s">
        <v>77</v>
      </c>
      <c r="E12" s="113" t="str">
        <f>IF(AND(LEFT($B12,1)="C",$D12&lt;&gt;"Non"),"/!\ L'ALAE primaire n'accueille pas les collégien-nes. Merci de renseigner une classe maternelle ou élémentaire, ou ""Non"" dans la case ALAE primaire.",
IF(AND(OR(LEFT($B12,1)="M",LEFT($B12,1)="E"),ISNUMBER(SEARCH("Midi",$D12))=FALSE,$C12&lt;&gt;"Externe"),"/!\ Si votre enfant mange à la cantine ou prend un pique-nique, vous devez obligatoirement l'inscrire à l'ALAE de midi.",""))</f>
        <v/>
      </c>
      <c r="G12" s="28"/>
      <c r="H12" s="28"/>
      <c r="K12" s="95" t="s">
        <v>93</v>
      </c>
      <c r="L12" s="111" t="b">
        <f>AND(B12&lt;&gt;"",B12&lt;&gt;PAS_DE_CLASSE)</f>
        <v>0</v>
      </c>
      <c r="M12" s="103">
        <f>IF(AND(OR(LEFT($B12,1)="M",LEFT($B12,1)="E"),$D12&lt;&gt;"Non"),1,)</f>
        <v>0</v>
      </c>
      <c r="N12" s="111" t="s">
        <v>77</v>
      </c>
      <c r="O12" s="103">
        <f>IF(D12&lt;&gt;"Non",VLOOKUP(D12,'ALAE primaire'!$K$3:$M$9,3,FALSE),0)</f>
        <v>0</v>
      </c>
    </row>
    <row r="13" spans="1:15" ht="16.8" thickTop="1" thickBot="1" x14ac:dyDescent="0.35">
      <c r="A13" s="69" t="s">
        <v>86</v>
      </c>
      <c r="B13" s="112" t="s">
        <v>172</v>
      </c>
      <c r="C13" s="112" t="s">
        <v>114</v>
      </c>
      <c r="D13" s="112" t="s">
        <v>77</v>
      </c>
      <c r="E13" s="113" t="str">
        <f>IF(AND($B13&lt;&gt;PAS_DE_CLASSE,$B13&lt;&gt;"",$L13=FALSE),"/!\ Veuillez renseigner la classe du 1er enfant avant celle du 2e enfant.",
IF(AND(LEFT($B13,1)="C",$D13&lt;&gt;"Non"),"/!\ L'ALAE primaire n'accueille pas les collégien-nes. Merci de renseigner une classe maternelle ou élémentaire, ou ""Non"" dans la case ALAE primaire.",
IF(AND(OR(LEFT($B13,1)="M",LEFT($B13,1)="E"),ISNUMBER(SEARCH("Midi",$D13))=FALSE,$C13&lt;&gt;"Externe"),"/!\ Si votre enfant mange à la cantine ou prend un pique-nique, vous devez obligatoirement l'inscrire à l'ALAE de midi.","")))</f>
        <v/>
      </c>
      <c r="G13" s="28"/>
      <c r="H13" s="28"/>
      <c r="K13" s="95" t="s">
        <v>92</v>
      </c>
      <c r="L13" s="95" t="b">
        <f>AND(B13&lt;&gt;"",B13&lt;&gt;PAS_DE_CLASSE,L12=TRUE)</f>
        <v>0</v>
      </c>
      <c r="M13" s="104">
        <f t="shared" ref="M13:M15" si="0">IF(AND(OR(LEFT($B13,1)="M",LEFT($B13,1)="E"),$D13&lt;&gt;"Non"),1,)</f>
        <v>0</v>
      </c>
      <c r="N13" s="95" t="s">
        <v>152</v>
      </c>
      <c r="O13" s="104">
        <f>IF(D13&lt;&gt;"Non",VLOOKUP(D13,'ALAE primaire'!$K$3:$M$9,3,FALSE),0)</f>
        <v>0</v>
      </c>
    </row>
    <row r="14" spans="1:15" ht="16.8" thickTop="1" thickBot="1" x14ac:dyDescent="0.35">
      <c r="A14" s="70" t="s">
        <v>84</v>
      </c>
      <c r="B14" s="112" t="s">
        <v>172</v>
      </c>
      <c r="C14" s="112" t="s">
        <v>114</v>
      </c>
      <c r="D14" s="112" t="s">
        <v>77</v>
      </c>
      <c r="E14" s="113" t="str">
        <f>IF(AND($B14&lt;&gt;PAS_DE_CLASSE,$B14&lt;&gt;"",$L14=FALSE),"/!\ Veuillez renseigner les classes des 2 premiers enfants avant celle du 3e enfant.",
IF(AND(LEFT($B14,1)="C",$D14&lt;&gt;"Non"),"/!\ L'ALAE primaire n'accueille pas les collégien-nes. Merci de renseigner une classe maternelle ou élémentaire, ou ""Non"" dans la case ALAE primaire.",
IF(AND(OR(LEFT($B14,1)="M",LEFT($B14,1)="E"),ISNUMBER(SEARCH("Midi",$D14))=FALSE,$C14&lt;&gt;"Externe"),"/!\ Si votre enfant mange à la cantine ou prend un pique-nique, vous devez obligatoirement l'inscrire à l'ALAE de midi.","")))</f>
        <v/>
      </c>
      <c r="G14" s="28"/>
      <c r="H14" s="28"/>
      <c r="K14" s="95" t="s">
        <v>91</v>
      </c>
      <c r="L14" s="95" t="b">
        <f>AND(B14&lt;&gt;"",B14&lt;&gt;PAS_DE_CLASSE,L13=TRUE)</f>
        <v>0</v>
      </c>
      <c r="M14" s="104">
        <f t="shared" si="0"/>
        <v>0</v>
      </c>
      <c r="N14" s="95" t="s">
        <v>149</v>
      </c>
      <c r="O14" s="104">
        <f>IF(D14&lt;&gt;"Non",VLOOKUP(D14,'ALAE primaire'!$K$3:$M$9,3,FALSE),0)</f>
        <v>0</v>
      </c>
    </row>
    <row r="15" spans="1:15" ht="16.8" thickTop="1" thickBot="1" x14ac:dyDescent="0.35">
      <c r="A15" s="71" t="s">
        <v>85</v>
      </c>
      <c r="B15" s="112" t="s">
        <v>172</v>
      </c>
      <c r="C15" s="112" t="s">
        <v>114</v>
      </c>
      <c r="D15" s="112" t="s">
        <v>77</v>
      </c>
      <c r="E15" s="113" t="str">
        <f>IF(AND($B15&lt;&gt;PAS_DE_CLASSE,$B15&lt;&gt;"",$L15=FALSE),"/!\ Veuillez renseigner les classes des 3 premiers enfants avant celle du 4e enfant.",
IF(AND(LEFT($B15,1)="C",$D15&lt;&gt;"Non"),"/!\ L'ALAE primaire n'accueille pas les collégien-nes. Merci de renseigner une classe maternelle ou élémentaire, ou ""Non"" dans la case ALAE primaire.",
IF(AND(OR(LEFT($B15,1)="M",LEFT($B15,1)="E"),ISNUMBER(SEARCH("Midi",$D15))=FALSE,$C15&lt;&gt;"Externe"),"/!\ Si votre enfant mange à la cantine ou prend un pique-nique, vous devez obligatoirement l'inscrire à l'ALAE de midi.","")))</f>
        <v/>
      </c>
      <c r="G15" s="28"/>
      <c r="H15" s="28"/>
      <c r="K15" s="95" t="s">
        <v>90</v>
      </c>
      <c r="L15" s="94" t="b">
        <f>AND(B15&lt;&gt;"",B15&lt;&gt;PAS_DE_CLASSE,L14=TRUE)</f>
        <v>0</v>
      </c>
      <c r="M15" s="105">
        <f t="shared" si="0"/>
        <v>0</v>
      </c>
      <c r="N15" s="95" t="s">
        <v>150</v>
      </c>
      <c r="O15" s="105">
        <f>IF(D15&lt;&gt;"Non",VLOOKUP(D15,'ALAE primaire'!$K$3:$M$9,3,FALSE),0)</f>
        <v>0</v>
      </c>
    </row>
    <row r="16" spans="1:15" ht="16.2" thickTop="1" x14ac:dyDescent="0.3">
      <c r="A16" s="27"/>
      <c r="B16" s="28"/>
      <c r="C16" s="29"/>
      <c r="D16" s="28"/>
      <c r="E16" s="28"/>
      <c r="G16" s="28"/>
      <c r="H16" s="28"/>
      <c r="K16" s="95" t="s">
        <v>89</v>
      </c>
      <c r="L16" s="104"/>
      <c r="M16" s="105">
        <f>SUM(M12:M15)</f>
        <v>0</v>
      </c>
      <c r="N16" s="95" t="s">
        <v>151</v>
      </c>
    </row>
    <row r="17" spans="1:15" x14ac:dyDescent="0.3">
      <c r="A17" s="27"/>
      <c r="B17" s="28"/>
      <c r="C17" s="29"/>
      <c r="D17" s="28"/>
      <c r="E17" s="28"/>
      <c r="G17" s="28"/>
      <c r="H17" s="28"/>
      <c r="K17" s="95" t="s">
        <v>88</v>
      </c>
      <c r="L17" s="28"/>
      <c r="M17" s="28"/>
      <c r="N17" s="95" t="s">
        <v>146</v>
      </c>
    </row>
    <row r="18" spans="1:15" ht="18.75" customHeight="1" x14ac:dyDescent="0.3">
      <c r="A18" s="139" t="s">
        <v>169</v>
      </c>
      <c r="B18" s="139"/>
      <c r="C18" s="139"/>
      <c r="D18" s="139"/>
      <c r="E18" s="120"/>
      <c r="G18" s="28"/>
      <c r="H18" s="28"/>
      <c r="K18" s="94" t="s">
        <v>87</v>
      </c>
      <c r="L18" s="28"/>
      <c r="M18" s="28"/>
      <c r="N18" s="95" t="s">
        <v>147</v>
      </c>
    </row>
    <row r="19" spans="1:15" ht="15.6" customHeight="1" x14ac:dyDescent="0.3">
      <c r="A19" s="140" t="s">
        <v>101</v>
      </c>
      <c r="B19" s="140"/>
      <c r="C19" s="140"/>
      <c r="D19" s="99">
        <f>D6/D7</f>
        <v>10000</v>
      </c>
      <c r="E19" s="121"/>
      <c r="G19" s="28"/>
      <c r="H19" s="28"/>
      <c r="M19" s="28"/>
      <c r="N19" s="94" t="s">
        <v>148</v>
      </c>
    </row>
    <row r="20" spans="1:15" ht="15.6" customHeight="1" x14ac:dyDescent="0.3">
      <c r="A20" s="140" t="s">
        <v>145</v>
      </c>
      <c r="B20" s="140"/>
      <c r="C20" s="140"/>
      <c r="D20" s="100">
        <f>IF(AND(D8="Oui",D9="Oui"),0.45,IF(D8="Oui",0.9,IF(D9="Oui",0.5,1)))</f>
        <v>1</v>
      </c>
      <c r="E20" s="121"/>
      <c r="G20" s="28"/>
      <c r="H20" s="28"/>
      <c r="M20" s="28"/>
    </row>
    <row r="21" spans="1:15" x14ac:dyDescent="0.3">
      <c r="A21" s="27"/>
      <c r="B21" s="28"/>
      <c r="C21" s="29"/>
      <c r="D21" s="28"/>
      <c r="E21" s="28"/>
      <c r="G21" s="28"/>
      <c r="H21" s="28"/>
      <c r="M21" s="28"/>
    </row>
    <row r="22" spans="1:15" x14ac:dyDescent="0.3">
      <c r="A22" s="126" t="s">
        <v>170</v>
      </c>
      <c r="B22" s="126"/>
      <c r="C22" s="74" t="s">
        <v>80</v>
      </c>
      <c r="D22" s="74" t="s">
        <v>81</v>
      </c>
      <c r="E22" s="74" t="s">
        <v>82</v>
      </c>
      <c r="F22" s="67" t="s">
        <v>83</v>
      </c>
      <c r="G22" s="28"/>
      <c r="H22" s="28"/>
      <c r="M22" s="28"/>
    </row>
    <row r="23" spans="1:15" x14ac:dyDescent="0.3">
      <c r="A23" s="127"/>
      <c r="B23" s="127"/>
      <c r="C23" s="72" t="s">
        <v>102</v>
      </c>
      <c r="D23" s="72" t="s">
        <v>103</v>
      </c>
      <c r="E23" s="72" t="s">
        <v>104</v>
      </c>
      <c r="F23" s="73"/>
      <c r="G23" s="28"/>
      <c r="H23" s="28"/>
      <c r="M23" s="28"/>
    </row>
    <row r="24" spans="1:15" x14ac:dyDescent="0.3">
      <c r="A24" s="78"/>
      <c r="B24" s="63" t="s">
        <v>164</v>
      </c>
      <c r="C24" s="62">
        <v>15</v>
      </c>
      <c r="D24" s="62" t="s">
        <v>105</v>
      </c>
      <c r="E24" s="62" t="s">
        <v>105</v>
      </c>
      <c r="F24" s="68">
        <f>SUM(C24:E24)</f>
        <v>15</v>
      </c>
      <c r="G24" s="28"/>
      <c r="H24" s="28"/>
      <c r="M24" s="28"/>
    </row>
    <row r="25" spans="1:15" x14ac:dyDescent="0.3">
      <c r="A25" s="78"/>
      <c r="B25" s="75" t="s">
        <v>163</v>
      </c>
      <c r="C25" s="76" t="str">
        <f>IF(AND(D8="Non",D9="Non",D10="Oui"),15,"-")</f>
        <v>-</v>
      </c>
      <c r="D25" s="76" t="s">
        <v>105</v>
      </c>
      <c r="E25" s="76" t="s">
        <v>105</v>
      </c>
      <c r="F25" s="77">
        <f>SUM(C25:E25)</f>
        <v>0</v>
      </c>
      <c r="G25" s="28"/>
      <c r="H25" s="28"/>
      <c r="M25" s="28"/>
    </row>
    <row r="26" spans="1:15" x14ac:dyDescent="0.3">
      <c r="A26" s="78"/>
      <c r="B26" s="28"/>
      <c r="C26" s="29"/>
      <c r="D26" s="28"/>
      <c r="E26" s="28"/>
      <c r="G26" s="28"/>
      <c r="H26" s="28"/>
      <c r="M26" s="28"/>
    </row>
    <row r="27" spans="1:15" s="30" customFormat="1" x14ac:dyDescent="0.3">
      <c r="A27" s="79"/>
      <c r="B27" s="90" t="str">
        <f>CONCATENATE("1er enfant : ",$B$12)</f>
        <v>1er enfant : &lt;Classe à choisir&gt;</v>
      </c>
      <c r="C27" s="42" t="s">
        <v>80</v>
      </c>
      <c r="D27" s="42" t="s">
        <v>81</v>
      </c>
      <c r="E27" s="42" t="s">
        <v>82</v>
      </c>
      <c r="F27" s="43" t="s">
        <v>83</v>
      </c>
      <c r="G27" s="29"/>
      <c r="H27" s="29"/>
      <c r="M27" s="29"/>
      <c r="N27" s="29"/>
      <c r="O27" s="29"/>
    </row>
    <row r="28" spans="1:15" x14ac:dyDescent="0.3">
      <c r="A28" s="78"/>
      <c r="B28" s="33" t="s">
        <v>142</v>
      </c>
      <c r="C28" s="34" t="str">
        <f>IF($L$12=FALSE,"-",VLOOKUP($D$19,Scolarité!$A$1:$D$24,4,TRUE)*$M$8*$M$9)</f>
        <v>-</v>
      </c>
      <c r="D28" s="34" t="str">
        <f>IF($L$12=FALSE,"-",VLOOKUP($D$19,Scolarité!$A$1:$D$24,4,TRUE)*$M$8*$M$9)</f>
        <v>-</v>
      </c>
      <c r="E28" s="34" t="str">
        <f>IF($L$12=FALSE,"-",VLOOKUP($D$19,Scolarité!$A$1:$D$24,4,TRUE)*$M$8*$M$9)</f>
        <v>-</v>
      </c>
      <c r="F28" s="35">
        <f t="shared" ref="F28:F33" si="1">SUM(C28:E28)</f>
        <v>0</v>
      </c>
      <c r="G28" s="28"/>
      <c r="H28" s="28"/>
      <c r="K28" s="28"/>
      <c r="L28" s="28"/>
      <c r="M28" s="28"/>
    </row>
    <row r="29" spans="1:15" x14ac:dyDescent="0.3">
      <c r="A29" s="78"/>
      <c r="B29" s="33" t="s">
        <v>79</v>
      </c>
      <c r="C29" s="34" t="str">
        <f>IF($L$12=FALSE,"-",IF(LEFT($B$12,1)="C",Pédagogique!$C$6*$M$9,IF(LEFT($B$12,1)="E",Pédagogique!$C$5*$M$9,IF($B$12="Maternelle - GS",Pédagogique!$C$4*$M$9,Pédagogique!$C$3*$M$9))))</f>
        <v>-</v>
      </c>
      <c r="D29" s="34" t="str">
        <f>IF($L$12=FALSE,"-",IF(LEFT($B$12,1)="C",Pédagogique!$C$6*$M$9,IF(LEFT($B$12,1)="E",Pédagogique!$C$5*$M$9,IF($B$12="Maternelle - GS",Pédagogique!$C$4*$M$9,Pédagogique!$C$3*$M$9))))</f>
        <v>-</v>
      </c>
      <c r="E29" s="34" t="str">
        <f>IF($L$12=FALSE,"-",IF(LEFT($B$12,1)="C",Pédagogique!$C$6*$M$9,IF(LEFT($B$12,1)="E",Pédagogique!$C$5*$M$9,IF($B$12="Maternelle - GS",Pédagogique!$C$4*$M$9,Pédagogique!$C$3*$M$9))))</f>
        <v>-</v>
      </c>
      <c r="F29" s="35">
        <f t="shared" si="1"/>
        <v>0</v>
      </c>
      <c r="G29" s="28"/>
      <c r="H29" s="28"/>
      <c r="K29" s="28"/>
      <c r="L29" s="28"/>
      <c r="M29" s="28"/>
    </row>
    <row r="30" spans="1:15" x14ac:dyDescent="0.3">
      <c r="A30" s="78"/>
      <c r="B30" s="33" t="s">
        <v>110</v>
      </c>
      <c r="C30" s="34" t="str">
        <f>IF(OR(RIGHT($B$12,2)="MS",RIGHT($B$12,2)="GS",LEFT($B$12,1)="E"),Voyage!C$3*$M$9,IF($B$12="Collège - 4e",Voyage!C$4*$M$9,"-"))</f>
        <v>-</v>
      </c>
      <c r="D30" s="34" t="str">
        <f>IF(OR(RIGHT($B$12,2)="MS",RIGHT($B$12,2)="GS",LEFT($B$12,1)="E"),Voyage!D$3*$M$9,IF($B$12="Collège - 4e",Voyage!D$4*$M$9,"-"))</f>
        <v>-</v>
      </c>
      <c r="E30" s="34" t="str">
        <f>IF(OR(RIGHT($B$12,2)="MS",RIGHT($B$12,2)="GS",LEFT($B$12,1)="E"),Voyage!E$3*$M$9,IF($B$12="Collège - 4e",Voyage!E$4*$M$9,"-"))</f>
        <v>-</v>
      </c>
      <c r="F30" s="35">
        <f t="shared" si="1"/>
        <v>0</v>
      </c>
      <c r="G30" s="28"/>
      <c r="H30" s="28"/>
      <c r="K30" s="28"/>
      <c r="L30" s="28"/>
      <c r="M30" s="28"/>
    </row>
    <row r="31" spans="1:15" x14ac:dyDescent="0.3">
      <c r="A31" s="78"/>
      <c r="B31" s="33" t="str">
        <f>CONCATENATE("Cantine** : ",$C$12)</f>
        <v>Cantine** : Externe</v>
      </c>
      <c r="C31" s="34" t="str">
        <f>IF($C$12="Demi-pension",
IF(LEFT($B$12,1)="M",VLOOKUP($D$19,'Cantine 23-24'!$A$16:$N$26,4,TRUE)*$M$9,
IF(LEFT($B$12,1)="E",VLOOKUP($D$19,'Cantine 23-24'!$A$16:$N$26,8,TRUE)*$M$9,
IF(LEFT($B$12,1)="C",VLOOKUP($D$19,'Cantine 23-24'!$A$16:$N$26,12,TRUE)*$M$9,"-"))),
IF(AND($C$12="Pique-nique",$L$12=TRUE),'Cantine 23-24'!I3*$M$9,"-"))</f>
        <v>-</v>
      </c>
      <c r="D31" s="34" t="str">
        <f>IF($C$12="Demi-pension",
IF(LEFT($B$12,1)="M",VLOOKUP($D$19,'Cantine 23-24'!$A$16:$N$26,5,TRUE)*$M$9,
IF(LEFT($B$12,1)="E",VLOOKUP($D$19,'Cantine 23-24'!$A$16:$N$26,9,TRUE)*$M$9,
IF(LEFT($B$12,1)="C",VLOOKUP($D$19,'Cantine 23-24'!$A$16:$N$26,13,TRUE)*$M$9,"-"))),
IF(AND($C$12="Pique-nique",$L$12=TRUE),'Cantine 23-24'!I4*$M$9,"-"))</f>
        <v>-</v>
      </c>
      <c r="E31" s="34" t="str">
        <f>IF($C$12="Demi-pension",
IF(LEFT($B$12,1)="M",VLOOKUP($D$19,'Cantine 23-24'!$A$16:$N$26,6,TRUE)*$M$9,
IF(LEFT($B$12,1)="E",VLOOKUP($D$19,'Cantine 23-24'!$A$16:$N$26,10,TRUE)*$M$9,
IF(LEFT($B$12,1)="C",VLOOKUP($D$19,'Cantine 23-24'!$A$16:$N$26,14,TRUE)*$M$9,"-"))),
IF(AND($C$12="Pique-nique",$L$12=TRUE),'Cantine 23-24'!I5*$M$9,"-"))</f>
        <v>-</v>
      </c>
      <c r="F31" s="35">
        <f t="shared" si="1"/>
        <v>0</v>
      </c>
      <c r="K31" s="28"/>
      <c r="L31" s="28"/>
      <c r="M31" s="28"/>
    </row>
    <row r="32" spans="1:15" x14ac:dyDescent="0.3">
      <c r="A32" s="80"/>
      <c r="B32" s="33" t="str">
        <f>CONCATENATE("ALAE primaire : ",$D$12)</f>
        <v>ALAE primaire : Non</v>
      </c>
      <c r="C32" s="34" t="str">
        <f>IF(AND(OR(LEFT($B$12,1)="M",LEFT($B$12,1)="E"),$D$12&lt;&gt;"Non"),
       IF($M$16&gt;2,VLOOKUP($D$6,'ALAE primaire'!$A$2:$H$21,8,TRUE)*$M$9*$O$12,
           IF($M$16&gt;1,VLOOKUP($D$6,'ALAE primaire'!$A$2:$H$21,6,TRUE)*$M$9*$O$12,
               VLOOKUP($D$6,'ALAE primaire'!$A$2:$H$21,4,TRUE)*$M$9*$O$12)),"-")</f>
        <v>-</v>
      </c>
      <c r="D32" s="34" t="str">
        <f>IF(AND(OR(LEFT($B$12,1)="M",LEFT($B$12,1)="E"),$D$12&lt;&gt;"Non"),
       IF($M$16&gt;2,VLOOKUP($D$6,'ALAE primaire'!$A$2:$H$21,8,TRUE)*$M$9*$O$12,
           IF($M$16&gt;1,VLOOKUP($D$6,'ALAE primaire'!$A$2:$H$21,6,TRUE)*$M$9*$O$12,
               VLOOKUP($D$6,'ALAE primaire'!$A$2:$H$21,4,TRUE)*$M$9*$O$12)),"-")</f>
        <v>-</v>
      </c>
      <c r="E32" s="34" t="str">
        <f>IF(AND(OR(LEFT($B$12,1)="M",LEFT($B$12,1)="E"),$D$12&lt;&gt;"Non"),
       IF($M$16&gt;2,VLOOKUP($D$6,'ALAE primaire'!$A$2:$H$21,8,TRUE)*$M$9*$O$12,
           IF($M$16&gt;1,VLOOKUP($D$6,'ALAE primaire'!$A$2:$H$21,6,TRUE)*$M$9*$O$12,
               VLOOKUP($D$6,'ALAE primaire'!$A$2:$H$21,4,TRUE)*$M$9*$O$12)),"-")</f>
        <v>-</v>
      </c>
      <c r="F32" s="35">
        <f t="shared" si="1"/>
        <v>0</v>
      </c>
    </row>
    <row r="33" spans="1:7" x14ac:dyDescent="0.3">
      <c r="A33" s="80"/>
      <c r="B33" s="33" t="s">
        <v>141</v>
      </c>
      <c r="C33" s="34" t="str">
        <f>IF($L$12=FALSE,"-",5*$M$9)</f>
        <v>-</v>
      </c>
      <c r="D33" s="34" t="s">
        <v>105</v>
      </c>
      <c r="E33" s="34" t="s">
        <v>105</v>
      </c>
      <c r="F33" s="35">
        <f t="shared" si="1"/>
        <v>0</v>
      </c>
    </row>
    <row r="34" spans="1:7" x14ac:dyDescent="0.3">
      <c r="A34" s="80"/>
      <c r="B34" s="44"/>
      <c r="C34" s="45">
        <f>SUM(C28:C33)</f>
        <v>0</v>
      </c>
      <c r="D34" s="45">
        <f t="shared" ref="D34:E34" si="2">SUM(D28:D33)</f>
        <v>0</v>
      </c>
      <c r="E34" s="45">
        <f t="shared" si="2"/>
        <v>0</v>
      </c>
      <c r="F34" s="46">
        <f>SUM(F28:F33)</f>
        <v>0</v>
      </c>
    </row>
    <row r="35" spans="1:7" x14ac:dyDescent="0.3">
      <c r="A35" s="80"/>
      <c r="B35" s="31"/>
      <c r="C35" s="32"/>
      <c r="D35" s="32"/>
      <c r="E35" s="32"/>
      <c r="F35" s="32"/>
    </row>
    <row r="36" spans="1:7" x14ac:dyDescent="0.3">
      <c r="A36" s="80"/>
      <c r="B36" s="91" t="str">
        <f>CONCATENATE("2ème enfant : ",$B$13)</f>
        <v>2ème enfant : &lt;Classe à choisir&gt;</v>
      </c>
      <c r="C36" s="47" t="s">
        <v>80</v>
      </c>
      <c r="D36" s="47" t="s">
        <v>81</v>
      </c>
      <c r="E36" s="47" t="s">
        <v>82</v>
      </c>
      <c r="F36" s="66" t="s">
        <v>83</v>
      </c>
    </row>
    <row r="37" spans="1:7" x14ac:dyDescent="0.3">
      <c r="A37" s="80"/>
      <c r="B37" s="37" t="s">
        <v>143</v>
      </c>
      <c r="C37" s="36" t="str">
        <f>IF($L$13=FALSE,"-",VLOOKUP($D$19,Scolarité!$A$1:$D$24,4,TRUE)*$M$8*$M$9*0.8)</f>
        <v>-</v>
      </c>
      <c r="D37" s="36" t="str">
        <f>IF($L$13=FALSE,"-",VLOOKUP($D$19,Scolarité!$A$1:$D$24,4,TRUE)*$M$8*$M$9*0.8)</f>
        <v>-</v>
      </c>
      <c r="E37" s="36" t="str">
        <f>IF($L$13=FALSE,"-",VLOOKUP($D$19,Scolarité!$A$1:$D$24,4,TRUE)*$M$8*$M$9*0.8)</f>
        <v>-</v>
      </c>
      <c r="F37" s="38">
        <f t="shared" ref="F37:F42" si="3">SUM(C37:E37)</f>
        <v>0</v>
      </c>
    </row>
    <row r="38" spans="1:7" x14ac:dyDescent="0.3">
      <c r="A38" s="80"/>
      <c r="B38" s="37" t="s">
        <v>79</v>
      </c>
      <c r="C38" s="36" t="str">
        <f>IF($L$13=FALSE,"-",
IF(LEFT($B$13,1)="C",Pédagogique!$C$6*$M$9,
IF(LEFT($B$13,1)="E",Pédagogique!$C$5*$M$9,
IF($B$13="Maternelle - GS",Pédagogique!$C$4*$M$9,
Pédagogique!$C$3*$M$9))))</f>
        <v>-</v>
      </c>
      <c r="D38" s="36" t="str">
        <f>IF($L$13=FALSE,"-",
IF(LEFT($B$13,1)="C",Pédagogique!$C$6*$M$9,
IF(LEFT($B$13,1)="E",Pédagogique!$C$5*$M$9,
IF($B$13="Maternelle - GS",Pédagogique!$C$4*$M$9,
Pédagogique!$C$3*$M$9))))</f>
        <v>-</v>
      </c>
      <c r="E38" s="36" t="str">
        <f>IF($L$13=FALSE,"-",
IF(LEFT($B$13,1)="C",Pédagogique!$C$6*$M$9,
IF(LEFT($B$13,1)="E",Pédagogique!$C$5*$M$9,
IF($B$13="Maternelle - GS",Pédagogique!$C$4*$M$9,
Pédagogique!$C$3*$M$9))))</f>
        <v>-</v>
      </c>
      <c r="F38" s="38">
        <f t="shared" si="3"/>
        <v>0</v>
      </c>
    </row>
    <row r="39" spans="1:7" x14ac:dyDescent="0.3">
      <c r="A39" s="80"/>
      <c r="B39" s="37" t="s">
        <v>110</v>
      </c>
      <c r="C39" s="36" t="str">
        <f>IF($L$13=FALSE,"-",IF(OR(RIGHT($B$13,2)="MS",RIGHT($B$13,2)="GS",LEFT($B$13,1)="E"),Voyage!C$3*$M$9,IF($B$13="Collège - 4e",Voyage!C$4*$M$9,"-")))</f>
        <v>-</v>
      </c>
      <c r="D39" s="36" t="str">
        <f>IF($L$13=FALSE,"-",IF(OR(RIGHT($B$13,2)="MS",RIGHT($B$13,2)="GS",LEFT($B$13,1)="E"),Voyage!D$3*$M$9,IF($B$13="Collège - 4e",Voyage!D$4*$M$9,"-")))</f>
        <v>-</v>
      </c>
      <c r="E39" s="36" t="str">
        <f>IF($L$13=FALSE,"-",IF(OR(RIGHT($B$13,2)="MS",RIGHT($B$13,2)="GS",LEFT($B$13,1)="E"),Voyage!E$3*$M$9,IF($B$13="Collège - 4e",Voyage!E$4*$M$9,"-")))</f>
        <v>-</v>
      </c>
      <c r="F39" s="38">
        <f t="shared" si="3"/>
        <v>0</v>
      </c>
    </row>
    <row r="40" spans="1:7" x14ac:dyDescent="0.3">
      <c r="A40" s="80"/>
      <c r="B40" s="37" t="str">
        <f>CONCATENATE("Cantine** : ",$C$13)</f>
        <v>Cantine** : Externe</v>
      </c>
      <c r="C40" s="36" t="str">
        <f>IF($L$13=FALSE,"-",IF($C$13="Demi-pension",
IF(LEFT($B$13,1)="M",VLOOKUP($D$19,'Cantine 23-24'!$A$16:$N$26,4,TRUE)*$M$9,
IF(LEFT($B$13,1)="E",VLOOKUP($D$19,'Cantine 23-24'!$A$16:$N$26,8,TRUE)*$M$9,
IF(LEFT($B$13,1)="C",VLOOKUP($D$19,'Cantine 23-24'!$A$16:$N$26,12,TRUE)*$M$9,"-"))),
IF($C$13="Pique-nique",'Cantine 23-24'!I3*$M$9,"-")))</f>
        <v>-</v>
      </c>
      <c r="D40" s="36" t="str">
        <f>IF($L$13=FALSE,"-",IF($C$13="Demi-pension",
IF(LEFT($B$13,1)="M",VLOOKUP($D$19,'Cantine 23-24'!$A$16:$N$26,5,TRUE)*$M$9,
IF(LEFT($B$13,1)="E",VLOOKUP($D$19,'Cantine 23-24'!$A$16:$N$26,9,TRUE)*$M$9,
IF(LEFT($B$13,1)="C",VLOOKUP($D$19,'Cantine 23-24'!$A$16:$N$26,13,TRUE)*$M$9,"-"))),
IF($C$13="Pique-nique",'Cantine 23-24'!I4*$M$9,"-")))</f>
        <v>-</v>
      </c>
      <c r="E40" s="36" t="str">
        <f>IF($L$13=FALSE,"-",IF($C$13="Demi-pension",
IF(LEFT($B$13,1)="M",VLOOKUP($D$19,'Cantine 23-24'!$A$16:$N$26,6,TRUE)*$M$9,
IF(LEFT($B$13,1)="E",VLOOKUP($D$19,'Cantine 23-24'!$A$16:$N$26,10,TRUE)*$M$9,
IF(LEFT($B$13,1)="C",VLOOKUP($D$19,'Cantine 23-24'!$A$16:$N$26,14,TRUE)*$M$9,"-"))),
IF($C$13="Pique-nique",'Cantine 23-24'!I5*$M$9,"-")))</f>
        <v>-</v>
      </c>
      <c r="F40" s="38">
        <f t="shared" si="3"/>
        <v>0</v>
      </c>
      <c r="G40" s="102"/>
    </row>
    <row r="41" spans="1:7" x14ac:dyDescent="0.3">
      <c r="A41" s="80"/>
      <c r="B41" s="37" t="str">
        <f>CONCATENATE("ALAE primaire : ",$D$13)</f>
        <v>ALAE primaire : Non</v>
      </c>
      <c r="C41" s="36" t="str">
        <f>IF($L$13=FALSE,"-",
IF(AND(OR(LEFT($B$13,1)="M",LEFT($B$13,1)="E"),$D$13&lt;&gt;"Non"),
IF($M$16&gt;2,VLOOKUP($D$6,'ALAE primaire'!$A$2:$H$21,8,TRUE)*$M$9*$O$13,
IF($M$16&gt;1,VLOOKUP($D$6,'ALAE primaire'!$A$2:$H$21,6,TRUE)*$M$9*$O$13,
VLOOKUP($D$6,'ALAE primaire'!$A$2:$H$21,4,TRUE)*$M$9*$O$13)),"-"))</f>
        <v>-</v>
      </c>
      <c r="D41" s="36" t="str">
        <f>IF($L$13=FALSE,"-",
IF(AND(OR(LEFT($B$13,1)="M",LEFT($B$13,1)="E"),$D$13&lt;&gt;"Non"),
       IF($M$16&gt;2,VLOOKUP($D$6,'ALAE primaire'!$A$2:$H$21,8,TRUE)*$M$9*$O$13,
           IF($M$16&gt;1,VLOOKUP($D$6,'ALAE primaire'!$A$2:$H$21,6,TRUE)*$M$9*$O$13,
               VLOOKUP($D$6,'ALAE primaire'!$A$2:$H$21,4,TRUE)*$M$9*$O$13)),"-"))</f>
        <v>-</v>
      </c>
      <c r="E41" s="36" t="str">
        <f>IF($L$13=FALSE,"-",
IF(AND(OR(LEFT($B$13,1)="M",LEFT($B$13,1)="E"),$D$13&lt;&gt;"Non"),
       IF($M$16&gt;2,VLOOKUP($D$6,'ALAE primaire'!$A$2:$H$21,8,TRUE)*$M$9*$O$13,
           IF($M$16&gt;1,VLOOKUP($D$6,'ALAE primaire'!$A$2:$H$21,6,TRUE)*$M$9*$O$13,
               VLOOKUP($D$6,'ALAE primaire'!$A$2:$H$21,4,TRUE)*$M$9*$O$13)),"-"))</f>
        <v>-</v>
      </c>
      <c r="F41" s="38">
        <f t="shared" si="3"/>
        <v>0</v>
      </c>
      <c r="G41" s="102"/>
    </row>
    <row r="42" spans="1:7" x14ac:dyDescent="0.3">
      <c r="A42" s="80"/>
      <c r="B42" s="37" t="s">
        <v>141</v>
      </c>
      <c r="C42" s="36" t="str">
        <f>IF($L$13=FALSE,"-",5*$M$9)</f>
        <v>-</v>
      </c>
      <c r="D42" s="36" t="s">
        <v>105</v>
      </c>
      <c r="E42" s="36" t="s">
        <v>105</v>
      </c>
      <c r="F42" s="38">
        <f t="shared" si="3"/>
        <v>0</v>
      </c>
    </row>
    <row r="43" spans="1:7" x14ac:dyDescent="0.3">
      <c r="A43" s="80"/>
      <c r="B43" s="48"/>
      <c r="C43" s="49">
        <f>SUM(C37:C42)</f>
        <v>0</v>
      </c>
      <c r="D43" s="49">
        <f t="shared" ref="D43:E43" si="4">SUM(D37:D42)</f>
        <v>0</v>
      </c>
      <c r="E43" s="49">
        <f t="shared" si="4"/>
        <v>0</v>
      </c>
      <c r="F43" s="50">
        <f>SUM(F37:F42)</f>
        <v>0</v>
      </c>
    </row>
    <row r="44" spans="1:7" x14ac:dyDescent="0.3">
      <c r="A44" s="80"/>
      <c r="B44" s="31"/>
      <c r="C44" s="32"/>
      <c r="D44" s="32"/>
      <c r="E44" s="32"/>
      <c r="F44" s="32"/>
    </row>
    <row r="45" spans="1:7" x14ac:dyDescent="0.3">
      <c r="A45" s="80"/>
      <c r="B45" s="92" t="str">
        <f>CONCATENATE("3ème enfant : ",$B$14)</f>
        <v>3ème enfant : &lt;Classe à choisir&gt;</v>
      </c>
      <c r="C45" s="51" t="s">
        <v>80</v>
      </c>
      <c r="D45" s="51" t="s">
        <v>81</v>
      </c>
      <c r="E45" s="51" t="s">
        <v>82</v>
      </c>
      <c r="F45" s="65" t="s">
        <v>83</v>
      </c>
    </row>
    <row r="46" spans="1:7" x14ac:dyDescent="0.3">
      <c r="A46" s="80"/>
      <c r="B46" s="39" t="s">
        <v>144</v>
      </c>
      <c r="C46" s="40" t="str">
        <f>IF($L$14=FALSE,"-",VLOOKUP($D$19,Scolarité!$A$1:$D$24,4,TRUE)*$M$8*$M$9*0.7)</f>
        <v>-</v>
      </c>
      <c r="D46" s="40" t="str">
        <f>IF($L$14=FALSE,"-",VLOOKUP($D$19,Scolarité!$A$1:$D$24,4,TRUE)*$M$8*$M$9*0.7)</f>
        <v>-</v>
      </c>
      <c r="E46" s="40" t="str">
        <f>IF($L$14=FALSE,"-",VLOOKUP($D$19,Scolarité!$A$1:$D$24,4,TRUE)*$M$8*$M$9*0.7)</f>
        <v>-</v>
      </c>
      <c r="F46" s="41">
        <f t="shared" ref="F46:F51" si="5">SUM(C46:E46)</f>
        <v>0</v>
      </c>
    </row>
    <row r="47" spans="1:7" x14ac:dyDescent="0.3">
      <c r="A47" s="80"/>
      <c r="B47" s="39" t="s">
        <v>79</v>
      </c>
      <c r="C47" s="40" t="str">
        <f>IF($L$14=FALSE,"-",
IF(LEFT($B$14,1)="C",Pédagogique!$C$6*$M$9,
IF(LEFT($B$14,1)="E",Pédagogique!$C$5*$M$9,
IF($B$14="Maternelle - GS",Pédagogique!$C$4*$M$9,
Pédagogique!$C$3*$M$9))))</f>
        <v>-</v>
      </c>
      <c r="D47" s="40" t="str">
        <f>IF($L$14=FALSE,"-",
IF(LEFT($B$14,1)="C",Pédagogique!$C$6*$M$9,
IF(LEFT($B$14,1)="E",Pédagogique!$C$5*$M$9,
IF($B$14="Maternelle - GS",Pédagogique!$C$4*$M$9,
Pédagogique!$C$3*$M$9))))</f>
        <v>-</v>
      </c>
      <c r="E47" s="40" t="str">
        <f>IF($L$14=FALSE,"-",
IF(LEFT($B$14,1)="C",Pédagogique!$C$6*$M$9,
IF(LEFT($B$14,1)="E",Pédagogique!$C$5*$M$9,
IF($B$14="Maternelle - GS",Pédagogique!$C$4*$M$9,
Pédagogique!$C$3*$M$9))))</f>
        <v>-</v>
      </c>
      <c r="F47" s="41">
        <f t="shared" si="5"/>
        <v>0</v>
      </c>
    </row>
    <row r="48" spans="1:7" x14ac:dyDescent="0.3">
      <c r="A48" s="80"/>
      <c r="B48" s="39" t="s">
        <v>110</v>
      </c>
      <c r="C48" s="40" t="str">
        <f>IF($L$14=FALSE,"-",IF(OR(RIGHT($B$14,2)="MS",RIGHT($B$14,2)="GS",LEFT($B$14,1)="E"),Voyage!C$3*$M$9,IF($B$14="Collège - 4e",Voyage!C$4*$M$9,"-")))</f>
        <v>-</v>
      </c>
      <c r="D48" s="40" t="str">
        <f>IF($L$14=FALSE,"-",IF(OR(RIGHT($B$14,2)="MS",RIGHT($B$14,2)="GS",LEFT($B$14,1)="E"),Voyage!D$3*$M$9,IF($B$14="Collège - 4e",Voyage!D$4*$M$9,"-")))</f>
        <v>-</v>
      </c>
      <c r="E48" s="40" t="str">
        <f>IF($L$14=FALSE,"-",IF(OR(RIGHT($B$14,2)="MS",RIGHT($B$14,2)="GS",LEFT($B$14,1)="E"),Voyage!E$3*$M$9,IF($B$14="Collège - 4e",Voyage!E$4*$M$9,"-")))</f>
        <v>-</v>
      </c>
      <c r="F48" s="41">
        <f t="shared" si="5"/>
        <v>0</v>
      </c>
    </row>
    <row r="49" spans="1:7" x14ac:dyDescent="0.3">
      <c r="A49" s="80"/>
      <c r="B49" s="39" t="str">
        <f>CONCATENATE("Cantine** : ",$C$14)</f>
        <v>Cantine** : Externe</v>
      </c>
      <c r="C49" s="40" t="str">
        <f>IF($L$14=FALSE,"-",IF($C$14="Demi-pension",
IF(LEFT($B$14,1)="M",VLOOKUP($D$19,'Cantine 23-24'!$A$16:$N$26,4,TRUE)*$M$9,
IF(LEFT($B$14,1)="E",VLOOKUP($D$19,'Cantine 23-24'!$A$16:$N$26,8,TRUE)*$M$9,
IF(LEFT($B$14,1)="C",VLOOKUP($D$19,'Cantine 23-24'!$A$16:$N$26,12,TRUE)*$M$9,"-"))),
IF($C$14="Pique-nique",'Cantine 23-24'!I3*$M$9,"-")))</f>
        <v>-</v>
      </c>
      <c r="D49" s="40" t="str">
        <f>IF($L$14=FALSE,"-",IF($C$14="Demi-pension",
IF(LEFT($B$14,1)="M",VLOOKUP($D$19,'Cantine 23-24'!$A$16:$N$26,5,TRUE)*$M$9,
IF(LEFT($B$14,1)="E",VLOOKUP($D$19,'Cantine 23-24'!$A$16:$N$26,9,TRUE)*$M$9,
IF(LEFT($B$14,1)="C",VLOOKUP($D$19,'Cantine 23-24'!$A$16:$N$26,13,TRUE)*$M$9,"-"))),
IF($C$14="Pique-nique",'Cantine 23-24'!I4*$M$9,"-")))</f>
        <v>-</v>
      </c>
      <c r="E49" s="40" t="str">
        <f>IF($L$14=FALSE,"-",IF($C$14="Demi-pension",
IF(LEFT($B$14,1)="M",VLOOKUP($D$19,'Cantine 23-24'!$A$16:$N$26,6,TRUE)*$M$9,
IF(LEFT($B$14,1)="E",VLOOKUP($D$19,'Cantine 23-24'!$A$16:$N$26,10,TRUE)*$M$9,
IF(LEFT($B$14,1)="C",VLOOKUP($D$19,'Cantine 23-24'!$A$16:$N$26,14,TRUE)*$M$9,"-"))),
IF($C$14="Pique-nique",'Cantine 23-24'!I5*$M$9,"-")))</f>
        <v>-</v>
      </c>
      <c r="F49" s="41">
        <f t="shared" si="5"/>
        <v>0</v>
      </c>
      <c r="G49" s="102"/>
    </row>
    <row r="50" spans="1:7" x14ac:dyDescent="0.3">
      <c r="A50" s="80"/>
      <c r="B50" s="39" t="str">
        <f>CONCATENATE("ALAE primaire : ",$D$14)</f>
        <v>ALAE primaire : Non</v>
      </c>
      <c r="C50" s="40" t="str">
        <f>IF($L$14=FALSE,"-",
IF(AND(OR(LEFT($B$14,1)="M",LEFT($B$14,1)="E"),$D$14&lt;&gt;"Non"),
       IF($M$16&gt;2,VLOOKUP($D$6,'ALAE primaire'!$A$2:$H$21,8,TRUE)*$M$9*$O$14,
           IF($M$16&gt;1,VLOOKUP($D$6,'ALAE primaire'!$A$2:$H$21,6,TRUE)*$M$9*$O$14,
               VLOOKUP($D$6,'ALAE primaire'!$A$2:$H$21,4,TRUE)*$M$9*$O$14)),"-"))</f>
        <v>-</v>
      </c>
      <c r="D50" s="40" t="str">
        <f>IF($L$14=FALSE,"-",
IF(AND(OR(LEFT($B$14,1)="M",LEFT($B$14,1)="E"),$D$14&lt;&gt;"Non"),
       IF($M$16&gt;2,VLOOKUP($D$6,'ALAE primaire'!$A$2:$H$21,8,TRUE)*$M$9*$O$14,
           IF($M$16&gt;1,VLOOKUP($D$6,'ALAE primaire'!$A$2:$H$21,6,TRUE)*$M$9*$O$14,
               VLOOKUP($D$6,'ALAE primaire'!$A$2:$H$21,4,TRUE)*$M$9*$O$14)),"-"))</f>
        <v>-</v>
      </c>
      <c r="E50" s="40" t="str">
        <f>IF($L$14=FALSE,"-",
IF(AND(OR(LEFT($B$14,1)="M",LEFT($B$14,1)="E"),$D$14&lt;&gt;"Non"),
       IF($M$16&gt;2,VLOOKUP($D$6,'ALAE primaire'!$A$2:$H$21,8,TRUE)*$M$9*$O$14,
           IF($M$16&gt;1,VLOOKUP($D$6,'ALAE primaire'!$A$2:$H$21,6,TRUE)*$M$9*$O$14,
               VLOOKUP($D$6,'ALAE primaire'!$A$2:$H$21,4,TRUE)*$M$9*$O$14)),"-"))</f>
        <v>-</v>
      </c>
      <c r="F50" s="41">
        <f t="shared" si="5"/>
        <v>0</v>
      </c>
      <c r="G50" s="102"/>
    </row>
    <row r="51" spans="1:7" x14ac:dyDescent="0.3">
      <c r="A51" s="80"/>
      <c r="B51" s="39" t="s">
        <v>141</v>
      </c>
      <c r="C51" s="40" t="str">
        <f>IF($L$14=FALSE,"-",5*$M$9)</f>
        <v>-</v>
      </c>
      <c r="D51" s="40" t="s">
        <v>105</v>
      </c>
      <c r="E51" s="40" t="s">
        <v>105</v>
      </c>
      <c r="F51" s="41">
        <f t="shared" si="5"/>
        <v>0</v>
      </c>
    </row>
    <row r="52" spans="1:7" x14ac:dyDescent="0.3">
      <c r="A52" s="80"/>
      <c r="B52" s="52"/>
      <c r="C52" s="53">
        <f>SUM(C46:C51)</f>
        <v>0</v>
      </c>
      <c r="D52" s="53">
        <f t="shared" ref="D52:E52" si="6">SUM(D46:D51)</f>
        <v>0</v>
      </c>
      <c r="E52" s="53">
        <f t="shared" si="6"/>
        <v>0</v>
      </c>
      <c r="F52" s="54">
        <f>SUM(F46:F51)</f>
        <v>0</v>
      </c>
    </row>
    <row r="53" spans="1:7" x14ac:dyDescent="0.3">
      <c r="A53" s="80"/>
      <c r="B53" s="31"/>
      <c r="C53" s="32"/>
      <c r="D53" s="32"/>
      <c r="E53" s="32"/>
      <c r="F53" s="32"/>
    </row>
    <row r="54" spans="1:7" x14ac:dyDescent="0.3">
      <c r="A54" s="80"/>
      <c r="B54" s="93" t="str">
        <f>CONCATENATE("4ème enfant : ",$B$15)</f>
        <v>4ème enfant : &lt;Classe à choisir&gt;</v>
      </c>
      <c r="C54" s="55" t="s">
        <v>80</v>
      </c>
      <c r="D54" s="55" t="s">
        <v>81</v>
      </c>
      <c r="E54" s="55" t="s">
        <v>82</v>
      </c>
      <c r="F54" s="64" t="s">
        <v>83</v>
      </c>
    </row>
    <row r="55" spans="1:7" x14ac:dyDescent="0.3">
      <c r="A55" s="80"/>
      <c r="B55" s="59" t="s">
        <v>144</v>
      </c>
      <c r="C55" s="61" t="str">
        <f>IF($L$15=FALSE,"-",VLOOKUP($D$19,Scolarité!$A$1:$D$24,4,TRUE)*$M$8*$M$9*0.7)</f>
        <v>-</v>
      </c>
      <c r="D55" s="61" t="str">
        <f>IF($L$15=FALSE,"-",VLOOKUP($D$19,Scolarité!$A$1:$D$24,4,TRUE)*$M$8*$M$9*0.7)</f>
        <v>-</v>
      </c>
      <c r="E55" s="61" t="str">
        <f>IF($L$15=FALSE,"-",VLOOKUP($D$19,Scolarité!$A$1:$D$24,4,TRUE)*$M$8*$M$9*0.7)</f>
        <v>-</v>
      </c>
      <c r="F55" s="60">
        <f t="shared" ref="F55:F60" si="7">SUM(C55:E55)</f>
        <v>0</v>
      </c>
    </row>
    <row r="56" spans="1:7" x14ac:dyDescent="0.3">
      <c r="A56" s="80"/>
      <c r="B56" s="59" t="s">
        <v>79</v>
      </c>
      <c r="C56" s="61" t="str">
        <f>IF($L$15=FALSE,"-",
IF(LEFT($B$15,1)="C",Pédagogique!$C$6*$M$9,
IF(LEFT($B$15,1)="E",Pédagogique!$C$5*$M$9,
IF($B$15="Maternelle - GS",Pédagogique!$C$4*$M$9,
Pédagogique!$C$3*$M$9))))</f>
        <v>-</v>
      </c>
      <c r="D56" s="61" t="str">
        <f>IF($L$15=FALSE,"-",
IF(LEFT($B$15,1)="C",Pédagogique!$C$6*$M$9,
IF(LEFT($B$15,1)="E",Pédagogique!$C$5*$M$9,
IF($B$15="Maternelle - GS",Pédagogique!$C$4*$M$9,
Pédagogique!$C$3*$M$9))))</f>
        <v>-</v>
      </c>
      <c r="E56" s="61" t="str">
        <f>IF($L$15=FALSE,"-",
IF(LEFT($B$15,1)="C",Pédagogique!$C$6*$M$9,
IF(LEFT($B$15,1)="E",Pédagogique!$C$5*$M$9,
IF($B$15="Maternelle - GS",Pédagogique!$C$4*$M$9,
Pédagogique!$C$3*$M$9))))</f>
        <v>-</v>
      </c>
      <c r="F56" s="60">
        <f t="shared" si="7"/>
        <v>0</v>
      </c>
    </row>
    <row r="57" spans="1:7" x14ac:dyDescent="0.3">
      <c r="A57" s="80"/>
      <c r="B57" s="59" t="s">
        <v>110</v>
      </c>
      <c r="C57" s="61" t="str">
        <f>IF($L$15=FALSE,"-",IF(OR(RIGHT($B$15,2)="MS",RIGHT($B$15,2)="GS",LEFT($B$15,1)="E"),Voyage!C$3*$M$9,IF($B$15="Collège - 4e",Voyage!C$4*$M$9,"-")))</f>
        <v>-</v>
      </c>
      <c r="D57" s="61" t="str">
        <f>IF($L$15=FALSE,"-",IF(OR(RIGHT($B$15,2)="MS",RIGHT($B$15,2)="GS",LEFT($B$15,1)="E"),Voyage!D$3*$M$9,IF($B$15="Collège - 4e",Voyage!D$4*$M$9,"-")))</f>
        <v>-</v>
      </c>
      <c r="E57" s="61" t="str">
        <f>IF($L$15=FALSE,"-",IF(OR(RIGHT($B$15,2)="MS",RIGHT($B$15,2)="GS",LEFT($B$15,1)="E"),Voyage!E$3*$M$9,IF($B$15="Collège - 4e",Voyage!E$4*$M$9,"-")))</f>
        <v>-</v>
      </c>
      <c r="F57" s="60">
        <f t="shared" si="7"/>
        <v>0</v>
      </c>
    </row>
    <row r="58" spans="1:7" x14ac:dyDescent="0.3">
      <c r="A58" s="80"/>
      <c r="B58" s="59" t="str">
        <f>CONCATENATE("Cantine** : ",$C$15)</f>
        <v>Cantine** : Externe</v>
      </c>
      <c r="C58" s="61" t="str">
        <f>IF($L$15=FALSE,"-",IF($C$15="Demi-pension",
IF(LEFT($B$15,1)="M",VLOOKUP($D$19,'Cantine 23-24'!$A$16:$N$26,4,TRUE)*$M$9,
IF(LEFT($B$15,1)="E",VLOOKUP($D$19,'Cantine 23-24'!$A$16:$N$26,8,TRUE)*$M$9,
IF(LEFT($B$15,1)="C",VLOOKUP($D$19,'Cantine 23-24'!$A$16:$N$26,12,TRUE)*$M$9,"-"))),
IF($C$15="Pique-nique",'Cantine 23-24'!I3*$M$9,"-")))</f>
        <v>-</v>
      </c>
      <c r="D58" s="61" t="str">
        <f>IF($L$15=FALSE,"-",IF($C$15="Demi-pension",
IF(LEFT($B$15,1)="M",VLOOKUP($D$19,'Cantine 23-24'!$A$16:$N$26,5,TRUE)*$M$9,
IF(LEFT($B$15,1)="E",VLOOKUP($D$19,'Cantine 23-24'!$A$16:$N$26,9,TRUE)*$M$9,
IF(LEFT($B$15,1)="C",VLOOKUP($D$19,'Cantine 23-24'!$A$16:$N$26,13,TRUE)*$M$9,"-"))),
IF($C$15="Pique-nique",'Cantine 23-24'!I4*$M$9,"-")))</f>
        <v>-</v>
      </c>
      <c r="E58" s="61" t="str">
        <f>IF($L$15=FALSE,"-",IF($C$15="Demi-pension",
IF(LEFT($B$15,1)="M",VLOOKUP($D$19,'Cantine 23-24'!$A$16:$N$26,6,TRUE)*$M$9,
IF(LEFT($B$15,1)="E",VLOOKUP($D$19,'Cantine 23-24'!$A$16:$N$26,10,TRUE)*$M$9,
IF(LEFT($B$15,1)="C",VLOOKUP($D$19,'Cantine 23-24'!$A$16:$N$26,14,TRUE)*$M$9,"-"))),
IF($C$15="Pique-nique",'Cantine 23-24'!I5*$M$9,"-")))</f>
        <v>-</v>
      </c>
      <c r="F58" s="60">
        <f t="shared" si="7"/>
        <v>0</v>
      </c>
      <c r="G58" s="102"/>
    </row>
    <row r="59" spans="1:7" x14ac:dyDescent="0.3">
      <c r="A59" s="80"/>
      <c r="B59" s="59" t="str">
        <f>CONCATENATE("ALAE primaire : ",$D$15)</f>
        <v>ALAE primaire : Non</v>
      </c>
      <c r="C59" s="61" t="str">
        <f>IF($L$15=FALSE,"-",
IF(AND(OR(LEFT($B$15,1)="M",LEFT($B$15,1)="E"),$D$15&lt;&gt;"Non"),
       IF($M$16&gt;2,VLOOKUP($D$6,'ALAE primaire'!$A$2:$H$21,8,TRUE)*$M$9*$O$15,
           IF($M$16&gt;1,VLOOKUP($D$6,'ALAE primaire'!$A$2:$H$21,6,TRUE)*$M$9*$O$15,
               VLOOKUP($D$6,'ALAE primaire'!$A$2:$H$21,4,TRUE)*$M$9*$O$15)),"-"))</f>
        <v>-</v>
      </c>
      <c r="D59" s="61" t="str">
        <f>IF($L$15=FALSE,"-",
IF(AND(OR(LEFT($B$15,1)="M",LEFT($B$15,1)="E"),$D$15&lt;&gt;"Non"),
       IF($M$16&gt;2,VLOOKUP($D$6,'ALAE primaire'!$A$2:$H$21,8,TRUE)*$M$9*$O$15,
           IF($M$16&gt;1,VLOOKUP($D$6,'ALAE primaire'!$A$2:$H$21,6,TRUE)*$M$9*$O$15,
               VLOOKUP($D$6,'ALAE primaire'!$A$2:$H$21,4,TRUE)*$M$9*$O$15)),"-"))</f>
        <v>-</v>
      </c>
      <c r="E59" s="61" t="str">
        <f>IF($L$15=FALSE,"-",
IF(AND(OR(LEFT($B$15,1)="M",LEFT($B$15,1)="E"),$D$15&lt;&gt;"Non"),
       IF($M$16&gt;2,VLOOKUP($D$6,'ALAE primaire'!$A$2:$H$21,8,TRUE)*$M$9*$O$15,
           IF($M$16&gt;1,VLOOKUP($D$6,'ALAE primaire'!$A$2:$H$21,6,TRUE)*$M$9*$O$15,
               VLOOKUP($D$6,'ALAE primaire'!$A$2:$H$21,4,TRUE)*$M$9*$O$15)),"-"))</f>
        <v>-</v>
      </c>
      <c r="F59" s="60">
        <f t="shared" si="7"/>
        <v>0</v>
      </c>
      <c r="G59" s="102"/>
    </row>
    <row r="60" spans="1:7" x14ac:dyDescent="0.3">
      <c r="A60" s="80"/>
      <c r="B60" s="59" t="s">
        <v>141</v>
      </c>
      <c r="C60" s="61" t="str">
        <f>IF($L$15=FALSE,"-",5*$M$9)</f>
        <v>-</v>
      </c>
      <c r="D60" s="61" t="s">
        <v>105</v>
      </c>
      <c r="E60" s="61" t="s">
        <v>105</v>
      </c>
      <c r="F60" s="60">
        <f t="shared" si="7"/>
        <v>0</v>
      </c>
    </row>
    <row r="61" spans="1:7" x14ac:dyDescent="0.3">
      <c r="A61" s="80"/>
      <c r="B61" s="56"/>
      <c r="C61" s="57">
        <f>SUM(C55:C60)</f>
        <v>0</v>
      </c>
      <c r="D61" s="57">
        <f t="shared" ref="D61:E61" si="8">SUM(D55:D60)</f>
        <v>0</v>
      </c>
      <c r="E61" s="57">
        <f t="shared" si="8"/>
        <v>0</v>
      </c>
      <c r="F61" s="58">
        <f>SUM(F55:F60)</f>
        <v>0</v>
      </c>
    </row>
    <row r="62" spans="1:7" x14ac:dyDescent="0.3">
      <c r="A62" s="80"/>
      <c r="B62" s="81"/>
      <c r="C62" s="32"/>
      <c r="D62" s="32"/>
      <c r="E62" s="32"/>
      <c r="F62" s="32"/>
    </row>
    <row r="63" spans="1:7" x14ac:dyDescent="0.3">
      <c r="A63" s="127" t="s">
        <v>106</v>
      </c>
      <c r="B63" s="127"/>
      <c r="C63" s="88" t="s">
        <v>80</v>
      </c>
      <c r="D63" s="88" t="s">
        <v>81</v>
      </c>
      <c r="E63" s="88" t="s">
        <v>82</v>
      </c>
      <c r="F63" s="88" t="s">
        <v>83</v>
      </c>
    </row>
    <row r="64" spans="1:7" x14ac:dyDescent="0.3">
      <c r="A64" s="127"/>
      <c r="B64" s="127"/>
      <c r="C64" s="72" t="s">
        <v>102</v>
      </c>
      <c r="D64" s="72" t="s">
        <v>103</v>
      </c>
      <c r="E64" s="72" t="s">
        <v>104</v>
      </c>
      <c r="F64" s="88"/>
    </row>
    <row r="65" spans="1:13" x14ac:dyDescent="0.3">
      <c r="A65" s="78"/>
      <c r="B65" s="84" t="s">
        <v>139</v>
      </c>
      <c r="C65" s="86">
        <f>C34+C43+C52+C61+SUM(C24:C25)</f>
        <v>15</v>
      </c>
      <c r="D65" s="86">
        <f>D34+D43+D52+D61+SUM(D24:D25)</f>
        <v>0</v>
      </c>
      <c r="E65" s="86">
        <f>E34+E43+E52+E61+SUM(E24:E25)</f>
        <v>0</v>
      </c>
      <c r="F65" s="87">
        <f>F34+F43+F52+F61+SUM(F24:F25)</f>
        <v>15</v>
      </c>
      <c r="G65" s="28"/>
      <c r="H65" s="28"/>
      <c r="M65" s="28"/>
    </row>
    <row r="66" spans="1:13" x14ac:dyDescent="0.3">
      <c r="A66" s="96"/>
      <c r="B66" s="85" t="s">
        <v>100</v>
      </c>
      <c r="C66" s="82">
        <f>C65/3</f>
        <v>5</v>
      </c>
      <c r="D66" s="82">
        <f>D65/3</f>
        <v>0</v>
      </c>
      <c r="E66" s="82">
        <f>E65/3</f>
        <v>0</v>
      </c>
      <c r="F66" s="83"/>
      <c r="G66" s="28"/>
      <c r="H66" s="28"/>
      <c r="M66" s="28"/>
    </row>
    <row r="68" spans="1:13" ht="15.75" customHeight="1" x14ac:dyDescent="0.3">
      <c r="A68" s="125" t="s">
        <v>167</v>
      </c>
      <c r="B68" s="125"/>
      <c r="C68" s="125"/>
      <c r="D68" s="125"/>
      <c r="E68" s="125"/>
      <c r="F68" s="125"/>
    </row>
    <row r="69" spans="1:13" ht="31.5" customHeight="1" x14ac:dyDescent="0.3">
      <c r="A69" s="125" t="s">
        <v>162</v>
      </c>
      <c r="B69" s="125"/>
      <c r="C69" s="125"/>
      <c r="D69" s="125"/>
      <c r="E69" s="125"/>
      <c r="F69" s="125"/>
    </row>
    <row r="70" spans="1:13" ht="32.25" customHeight="1" x14ac:dyDescent="0.3">
      <c r="A70" s="125" t="s">
        <v>165</v>
      </c>
      <c r="B70" s="125"/>
      <c r="C70" s="125"/>
      <c r="D70" s="125"/>
      <c r="E70" s="125"/>
      <c r="F70" s="125"/>
    </row>
  </sheetData>
  <sheetProtection sheet="1" objects="1" scenarios="1"/>
  <mergeCells count="16">
    <mergeCell ref="A69:F69"/>
    <mergeCell ref="A70:F70"/>
    <mergeCell ref="A22:B23"/>
    <mergeCell ref="A63:B64"/>
    <mergeCell ref="A1:F1"/>
    <mergeCell ref="A2:F2"/>
    <mergeCell ref="A3:F3"/>
    <mergeCell ref="A68:F68"/>
    <mergeCell ref="A6:C6"/>
    <mergeCell ref="A7:C7"/>
    <mergeCell ref="A5:D5"/>
    <mergeCell ref="A8:C8"/>
    <mergeCell ref="A9:C9"/>
    <mergeCell ref="A18:D18"/>
    <mergeCell ref="A19:C19"/>
    <mergeCell ref="A20:C20"/>
  </mergeCells>
  <conditionalFormatting sqref="B12">
    <cfRule type="cellIs" dxfId="12" priority="13" operator="notEqual">
      <formula>PAS_DE_CLASSE</formula>
    </cfRule>
  </conditionalFormatting>
  <conditionalFormatting sqref="B13">
    <cfRule type="cellIs" dxfId="11" priority="11" operator="notEqual">
      <formula>PAS_DE_CLASSE</formula>
    </cfRule>
  </conditionalFormatting>
  <conditionalFormatting sqref="B14">
    <cfRule type="cellIs" dxfId="10" priority="9" operator="notEqual">
      <formula>PAS_DE_CLASSE</formula>
    </cfRule>
  </conditionalFormatting>
  <conditionalFormatting sqref="B15">
    <cfRule type="cellIs" dxfId="9" priority="7" operator="notEqual">
      <formula>PAS_DE_CLASSE</formula>
    </cfRule>
  </conditionalFormatting>
  <conditionalFormatting sqref="C12">
    <cfRule type="cellIs" dxfId="8" priority="12" operator="notEqual">
      <formula>"Externe"</formula>
    </cfRule>
  </conditionalFormatting>
  <conditionalFormatting sqref="C13">
    <cfRule type="cellIs" dxfId="7" priority="10" operator="notEqual">
      <formula>"Externe"</formula>
    </cfRule>
  </conditionalFormatting>
  <conditionalFormatting sqref="C14">
    <cfRule type="cellIs" dxfId="6" priority="8" operator="notEqual">
      <formula>"Externe"</formula>
    </cfRule>
  </conditionalFormatting>
  <conditionalFormatting sqref="C15">
    <cfRule type="cellIs" dxfId="5" priority="6" operator="notEqual">
      <formula>"Externe"</formula>
    </cfRule>
  </conditionalFormatting>
  <conditionalFormatting sqref="D8:D10">
    <cfRule type="cellIs" dxfId="4" priority="5" operator="equal">
      <formula>"Oui"</formula>
    </cfRule>
  </conditionalFormatting>
  <conditionalFormatting sqref="D12">
    <cfRule type="cellIs" dxfId="3" priority="4" operator="notEqual">
      <formula>"Non"</formula>
    </cfRule>
  </conditionalFormatting>
  <conditionalFormatting sqref="D13">
    <cfRule type="cellIs" dxfId="2" priority="3" operator="notEqual">
      <formula>"Non"</formula>
    </cfRule>
  </conditionalFormatting>
  <conditionalFormatting sqref="D14">
    <cfRule type="cellIs" dxfId="1" priority="2" operator="notEqual">
      <formula>"Non"</formula>
    </cfRule>
  </conditionalFormatting>
  <conditionalFormatting sqref="D15">
    <cfRule type="cellIs" dxfId="0" priority="1" operator="notEqual">
      <formula>"Non"</formula>
    </cfRule>
  </conditionalFormatting>
  <dataValidations count="6">
    <dataValidation showInputMessage="1" showErrorMessage="1" sqref="C11" xr:uid="{420D94A9-00AE-4502-BD32-9BC244459AE0}"/>
    <dataValidation type="list" showInputMessage="1" showErrorMessage="1" errorTitle="Choix du niveau de classe" error="Veuillez choisir le niveau de classe parmi les propositions de la liste déroulante." sqref="B13:B15" xr:uid="{CE76F2F8-C456-42EF-8FA2-1BE44F63DC0C}">
      <formula1>Niveau_Classe</formula1>
    </dataValidation>
    <dataValidation type="list" showInputMessage="1" showErrorMessage="1" errorTitle="Choix" error="Veuillez saisir Oui ou Non." sqref="D8:D10" xr:uid="{C9A9DD3B-226A-42BD-B678-217B4EA51004}">
      <formula1>Oui_Non</formula1>
    </dataValidation>
    <dataValidation type="list" allowBlank="1" showInputMessage="1" showErrorMessage="1" errorTitle="Choix du niveau de classe" error="Veuillez choisir le niveau de classe parmi les propositions de la liste déroulante." sqref="B12" xr:uid="{0B0853AE-2F9B-48A1-9E94-52A6960910C3}">
      <formula1>Niveau_Classe</formula1>
    </dataValidation>
    <dataValidation type="list" showInputMessage="1" showErrorMessage="1" errorTitle="Choix" error="Veuillez saisir Oui ou Non." sqref="C12:C15" xr:uid="{6D4C7795-B38E-40D4-9FB5-04BC9C5CD4B5}">
      <formula1>$N$5:$N$7</formula1>
    </dataValidation>
    <dataValidation type="list" showInputMessage="1" showErrorMessage="1" errorTitle="Choix" error="Veuillez saisir Oui ou Non." sqref="D12:D15" xr:uid="{61177813-3C01-4A60-8435-FDD57BB1A77B}">
      <formula1>$N$12:$N$19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921E-4A8E-467B-8272-EB77FDB28029}">
  <sheetPr codeName="Feuil2"/>
  <dimension ref="A1:D24"/>
  <sheetViews>
    <sheetView workbookViewId="0"/>
  </sheetViews>
  <sheetFormatPr baseColWidth="10" defaultRowHeight="14.4" x14ac:dyDescent="0.3"/>
  <cols>
    <col min="1" max="1" width="12.5546875" bestFit="1" customWidth="1"/>
    <col min="2" max="2" width="27.6640625" customWidth="1"/>
    <col min="3" max="3" width="27.5546875" customWidth="1"/>
    <col min="4" max="4" width="25.6640625" customWidth="1"/>
  </cols>
  <sheetData>
    <row r="1" spans="1:4" ht="15.6" thickBot="1" x14ac:dyDescent="0.35">
      <c r="B1" s="141" t="s">
        <v>0</v>
      </c>
      <c r="C1" s="143" t="s">
        <v>1</v>
      </c>
      <c r="D1" s="144"/>
    </row>
    <row r="2" spans="1:4" ht="15.6" thickBot="1" x14ac:dyDescent="0.35">
      <c r="A2" t="s">
        <v>57</v>
      </c>
      <c r="B2" s="142"/>
      <c r="C2" s="1" t="s">
        <v>2</v>
      </c>
      <c r="D2" s="2" t="s">
        <v>3</v>
      </c>
    </row>
    <row r="3" spans="1:4" ht="17.399999999999999" thickBot="1" x14ac:dyDescent="0.35">
      <c r="A3">
        <v>0</v>
      </c>
      <c r="B3" s="3" t="s">
        <v>4</v>
      </c>
      <c r="C3" s="4">
        <v>200</v>
      </c>
      <c r="D3" s="5">
        <f>C3/3</f>
        <v>66.666666666666671</v>
      </c>
    </row>
    <row r="4" spans="1:4" ht="17.399999999999999" thickBot="1" x14ac:dyDescent="0.35">
      <c r="A4">
        <v>2000</v>
      </c>
      <c r="B4" s="3" t="s">
        <v>5</v>
      </c>
      <c r="C4" s="4">
        <v>295</v>
      </c>
      <c r="D4" s="5">
        <f t="shared" ref="D4:D24" si="0">C4/3</f>
        <v>98.333333333333329</v>
      </c>
    </row>
    <row r="5" spans="1:4" ht="17.399999999999999" thickBot="1" x14ac:dyDescent="0.35">
      <c r="A5">
        <v>3000</v>
      </c>
      <c r="B5" s="3" t="s">
        <v>6</v>
      </c>
      <c r="C5" s="4">
        <v>405</v>
      </c>
      <c r="D5" s="5">
        <f t="shared" si="0"/>
        <v>135</v>
      </c>
    </row>
    <row r="6" spans="1:4" ht="17.399999999999999" thickBot="1" x14ac:dyDescent="0.35">
      <c r="A6">
        <v>4000</v>
      </c>
      <c r="B6" s="3" t="s">
        <v>7</v>
      </c>
      <c r="C6" s="4">
        <v>515</v>
      </c>
      <c r="D6" s="5">
        <f t="shared" si="0"/>
        <v>171.66666666666666</v>
      </c>
    </row>
    <row r="7" spans="1:4" ht="17.399999999999999" thickBot="1" x14ac:dyDescent="0.35">
      <c r="A7">
        <v>5000</v>
      </c>
      <c r="B7" s="3" t="s">
        <v>8</v>
      </c>
      <c r="C7" s="4">
        <v>625</v>
      </c>
      <c r="D7" s="5">
        <f t="shared" si="0"/>
        <v>208.33333333333334</v>
      </c>
    </row>
    <row r="8" spans="1:4" ht="17.399999999999999" thickBot="1" x14ac:dyDescent="0.35">
      <c r="A8">
        <v>6000</v>
      </c>
      <c r="B8" s="3" t="s">
        <v>9</v>
      </c>
      <c r="C8" s="4">
        <v>735</v>
      </c>
      <c r="D8" s="5">
        <f t="shared" si="0"/>
        <v>245</v>
      </c>
    </row>
    <row r="9" spans="1:4" ht="17.399999999999999" thickBot="1" x14ac:dyDescent="0.35">
      <c r="A9">
        <v>7000</v>
      </c>
      <c r="B9" s="3" t="s">
        <v>10</v>
      </c>
      <c r="C9" s="4">
        <v>845</v>
      </c>
      <c r="D9" s="5">
        <f t="shared" si="0"/>
        <v>281.66666666666669</v>
      </c>
    </row>
    <row r="10" spans="1:4" ht="17.399999999999999" thickBot="1" x14ac:dyDescent="0.35">
      <c r="A10">
        <v>8000</v>
      </c>
      <c r="B10" s="3" t="s">
        <v>11</v>
      </c>
      <c r="C10" s="4">
        <v>955</v>
      </c>
      <c r="D10" s="5">
        <f t="shared" si="0"/>
        <v>318.33333333333331</v>
      </c>
    </row>
    <row r="11" spans="1:4" ht="17.399999999999999" thickBot="1" x14ac:dyDescent="0.35">
      <c r="A11">
        <v>9000</v>
      </c>
      <c r="B11" s="3" t="s">
        <v>12</v>
      </c>
      <c r="C11" s="4">
        <v>1065</v>
      </c>
      <c r="D11" s="5">
        <f t="shared" si="0"/>
        <v>355</v>
      </c>
    </row>
    <row r="12" spans="1:4" ht="17.399999999999999" thickBot="1" x14ac:dyDescent="0.35">
      <c r="A12">
        <v>10000</v>
      </c>
      <c r="B12" s="3" t="s">
        <v>13</v>
      </c>
      <c r="C12" s="4">
        <v>1175</v>
      </c>
      <c r="D12" s="5">
        <f t="shared" si="0"/>
        <v>391.66666666666669</v>
      </c>
    </row>
    <row r="13" spans="1:4" ht="17.399999999999999" thickBot="1" x14ac:dyDescent="0.35">
      <c r="A13">
        <v>11000</v>
      </c>
      <c r="B13" s="3" t="s">
        <v>14</v>
      </c>
      <c r="C13" s="4">
        <v>1285</v>
      </c>
      <c r="D13" s="5">
        <f t="shared" si="0"/>
        <v>428.33333333333331</v>
      </c>
    </row>
    <row r="14" spans="1:4" ht="17.399999999999999" thickBot="1" x14ac:dyDescent="0.35">
      <c r="A14">
        <v>12000</v>
      </c>
      <c r="B14" s="3" t="s">
        <v>15</v>
      </c>
      <c r="C14" s="4">
        <v>1460</v>
      </c>
      <c r="D14" s="5">
        <f t="shared" si="0"/>
        <v>486.66666666666669</v>
      </c>
    </row>
    <row r="15" spans="1:4" ht="17.399999999999999" thickBot="1" x14ac:dyDescent="0.35">
      <c r="A15">
        <v>13000</v>
      </c>
      <c r="B15" s="3" t="s">
        <v>16</v>
      </c>
      <c r="C15" s="4">
        <v>1660</v>
      </c>
      <c r="D15" s="5">
        <f t="shared" si="0"/>
        <v>553.33333333333337</v>
      </c>
    </row>
    <row r="16" spans="1:4" ht="17.399999999999999" thickBot="1" x14ac:dyDescent="0.35">
      <c r="A16">
        <v>14000</v>
      </c>
      <c r="B16" s="3" t="s">
        <v>17</v>
      </c>
      <c r="C16" s="4">
        <v>1860</v>
      </c>
      <c r="D16" s="5">
        <f t="shared" si="0"/>
        <v>620</v>
      </c>
    </row>
    <row r="17" spans="1:4" ht="17.399999999999999" thickBot="1" x14ac:dyDescent="0.35">
      <c r="A17">
        <v>15000</v>
      </c>
      <c r="B17" s="3" t="s">
        <v>18</v>
      </c>
      <c r="C17" s="4">
        <v>2060</v>
      </c>
      <c r="D17" s="5">
        <f t="shared" si="0"/>
        <v>686.66666666666663</v>
      </c>
    </row>
    <row r="18" spans="1:4" ht="17.399999999999999" thickBot="1" x14ac:dyDescent="0.35">
      <c r="A18">
        <v>16000</v>
      </c>
      <c r="B18" s="3" t="s">
        <v>19</v>
      </c>
      <c r="C18" s="4">
        <v>2260</v>
      </c>
      <c r="D18" s="5">
        <f t="shared" si="0"/>
        <v>753.33333333333337</v>
      </c>
    </row>
    <row r="19" spans="1:4" ht="17.399999999999999" thickBot="1" x14ac:dyDescent="0.35">
      <c r="A19">
        <v>17000</v>
      </c>
      <c r="B19" s="3" t="s">
        <v>20</v>
      </c>
      <c r="C19" s="4">
        <v>2460</v>
      </c>
      <c r="D19" s="5">
        <f t="shared" si="0"/>
        <v>820</v>
      </c>
    </row>
    <row r="20" spans="1:4" ht="17.399999999999999" thickBot="1" x14ac:dyDescent="0.35">
      <c r="A20">
        <v>18000</v>
      </c>
      <c r="B20" s="3" t="s">
        <v>21</v>
      </c>
      <c r="C20" s="4">
        <v>2660</v>
      </c>
      <c r="D20" s="5">
        <f t="shared" si="0"/>
        <v>886.66666666666663</v>
      </c>
    </row>
    <row r="21" spans="1:4" ht="17.399999999999999" thickBot="1" x14ac:dyDescent="0.35">
      <c r="A21">
        <v>19000</v>
      </c>
      <c r="B21" s="3" t="s">
        <v>22</v>
      </c>
      <c r="C21" s="4">
        <v>2860</v>
      </c>
      <c r="D21" s="5">
        <f t="shared" si="0"/>
        <v>953.33333333333337</v>
      </c>
    </row>
    <row r="22" spans="1:4" ht="17.399999999999999" thickBot="1" x14ac:dyDescent="0.35">
      <c r="A22">
        <v>20000</v>
      </c>
      <c r="B22" s="3" t="s">
        <v>23</v>
      </c>
      <c r="C22" s="4">
        <v>3060</v>
      </c>
      <c r="D22" s="5">
        <f t="shared" si="0"/>
        <v>1020</v>
      </c>
    </row>
    <row r="23" spans="1:4" ht="17.399999999999999" thickBot="1" x14ac:dyDescent="0.35">
      <c r="A23">
        <v>21000</v>
      </c>
      <c r="B23" s="3" t="s">
        <v>24</v>
      </c>
      <c r="C23" s="4">
        <v>3260</v>
      </c>
      <c r="D23" s="5">
        <f t="shared" si="0"/>
        <v>1086.6666666666667</v>
      </c>
    </row>
    <row r="24" spans="1:4" ht="17.399999999999999" thickBot="1" x14ac:dyDescent="0.35">
      <c r="A24">
        <v>22000</v>
      </c>
      <c r="B24" s="3" t="s">
        <v>25</v>
      </c>
      <c r="C24" s="4">
        <v>3460</v>
      </c>
      <c r="D24" s="5">
        <f t="shared" si="0"/>
        <v>1153.3333333333333</v>
      </c>
    </row>
  </sheetData>
  <sheetProtection sheet="1" objects="1" scenarios="1"/>
  <mergeCells count="2">
    <mergeCell ref="B1:B2"/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64EF-4151-4BBB-948E-003F067B7A96}">
  <sheetPr codeName="Feuil3"/>
  <dimension ref="A1:C6"/>
  <sheetViews>
    <sheetView workbookViewId="0">
      <selection sqref="A1:A2"/>
    </sheetView>
  </sheetViews>
  <sheetFormatPr baseColWidth="10" defaultRowHeight="14.4" x14ac:dyDescent="0.3"/>
  <cols>
    <col min="1" max="1" width="26.33203125" bestFit="1" customWidth="1"/>
    <col min="2" max="2" width="22.109375" customWidth="1"/>
    <col min="3" max="3" width="22.88671875" customWidth="1"/>
  </cols>
  <sheetData>
    <row r="1" spans="1:3" ht="15.6" thickBot="1" x14ac:dyDescent="0.35">
      <c r="A1" s="145"/>
      <c r="B1" s="143" t="s">
        <v>26</v>
      </c>
      <c r="C1" s="144"/>
    </row>
    <row r="2" spans="1:3" ht="15.6" thickBot="1" x14ac:dyDescent="0.35">
      <c r="A2" s="146"/>
      <c r="B2" s="1" t="s">
        <v>2</v>
      </c>
      <c r="C2" s="2" t="s">
        <v>3</v>
      </c>
    </row>
    <row r="3" spans="1:3" ht="15.6" thickBot="1" x14ac:dyDescent="0.35">
      <c r="A3" s="6" t="s">
        <v>27</v>
      </c>
      <c r="B3" s="7">
        <v>33</v>
      </c>
      <c r="C3" s="8">
        <v>11</v>
      </c>
    </row>
    <row r="4" spans="1:3" ht="15.6" thickBot="1" x14ac:dyDescent="0.35">
      <c r="A4" s="6" t="s">
        <v>28</v>
      </c>
      <c r="B4" s="7">
        <v>48</v>
      </c>
      <c r="C4" s="8">
        <v>16</v>
      </c>
    </row>
    <row r="5" spans="1:3" ht="15.6" thickBot="1" x14ac:dyDescent="0.35">
      <c r="A5" s="6" t="s">
        <v>29</v>
      </c>
      <c r="B5" s="7">
        <v>48</v>
      </c>
      <c r="C5" s="8">
        <v>16</v>
      </c>
    </row>
    <row r="6" spans="1:3" ht="15.6" thickBot="1" x14ac:dyDescent="0.35">
      <c r="A6" s="6" t="s">
        <v>30</v>
      </c>
      <c r="B6" s="7">
        <v>48</v>
      </c>
      <c r="C6" s="8">
        <v>16</v>
      </c>
    </row>
  </sheetData>
  <sheetProtection sheet="1" objects="1" scenarios="1"/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5405-02E0-4A09-8EDE-0DFD4BF9E3D9}">
  <sheetPr codeName="Feuil4"/>
  <dimension ref="A1:E4"/>
  <sheetViews>
    <sheetView workbookViewId="0">
      <selection sqref="A1:A2"/>
    </sheetView>
  </sheetViews>
  <sheetFormatPr baseColWidth="10" defaultRowHeight="14.4" x14ac:dyDescent="0.3"/>
  <cols>
    <col min="1" max="1" width="29" customWidth="1"/>
    <col min="2" max="2" width="15.88671875" customWidth="1"/>
    <col min="3" max="3" width="17.44140625" customWidth="1"/>
    <col min="4" max="4" width="19.44140625" customWidth="1"/>
    <col min="5" max="5" width="17.88671875" customWidth="1"/>
  </cols>
  <sheetData>
    <row r="1" spans="1:5" ht="15.6" thickBot="1" x14ac:dyDescent="0.35">
      <c r="A1" s="145"/>
      <c r="B1" s="143" t="s">
        <v>31</v>
      </c>
      <c r="C1" s="143"/>
      <c r="D1" s="143"/>
      <c r="E1" s="144"/>
    </row>
    <row r="2" spans="1:5" ht="17.399999999999999" thickBot="1" x14ac:dyDescent="0.35">
      <c r="A2" s="146"/>
      <c r="B2" s="1" t="s">
        <v>2</v>
      </c>
      <c r="C2" s="2" t="s">
        <v>32</v>
      </c>
      <c r="D2" s="2" t="s">
        <v>33</v>
      </c>
      <c r="E2" s="2" t="s">
        <v>34</v>
      </c>
    </row>
    <row r="3" spans="1:5" ht="36" customHeight="1" thickBot="1" x14ac:dyDescent="0.35">
      <c r="A3" s="6" t="s">
        <v>111</v>
      </c>
      <c r="B3" s="10">
        <v>170</v>
      </c>
      <c r="C3" s="11">
        <v>50</v>
      </c>
      <c r="D3" s="11">
        <v>60</v>
      </c>
      <c r="E3" s="11">
        <v>60</v>
      </c>
    </row>
    <row r="4" spans="1:5" ht="30.6" thickBot="1" x14ac:dyDescent="0.35">
      <c r="A4" s="6" t="s">
        <v>112</v>
      </c>
      <c r="B4" s="10">
        <v>250</v>
      </c>
      <c r="C4" s="11">
        <v>80</v>
      </c>
      <c r="D4" s="11">
        <v>80</v>
      </c>
      <c r="E4" s="11">
        <v>90</v>
      </c>
    </row>
  </sheetData>
  <sheetProtection sheet="1" objects="1" scenarios="1"/>
  <mergeCells count="2">
    <mergeCell ref="A1:A2"/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6D24-EE8E-4896-8483-F175EE1D47D3}">
  <sheetPr codeName="Feuil5"/>
  <dimension ref="A1:N26"/>
  <sheetViews>
    <sheetView workbookViewId="0"/>
  </sheetViews>
  <sheetFormatPr baseColWidth="10" defaultRowHeight="14.4" x14ac:dyDescent="0.3"/>
  <cols>
    <col min="1" max="1" width="12.5546875" bestFit="1" customWidth="1"/>
    <col min="2" max="2" width="25.33203125" customWidth="1"/>
    <col min="3" max="3" width="20.88671875" style="13" customWidth="1"/>
    <col min="4" max="4" width="22" style="13" customWidth="1"/>
    <col min="5" max="5" width="18.109375" style="13" customWidth="1"/>
    <col min="6" max="6" width="22" style="13" customWidth="1"/>
    <col min="7" max="7" width="20.109375" customWidth="1"/>
    <col min="8" max="8" width="20.33203125" customWidth="1"/>
    <col min="9" max="9" width="18.6640625" customWidth="1"/>
    <col min="10" max="10" width="21.6640625" customWidth="1"/>
    <col min="11" max="11" width="20.109375" customWidth="1"/>
    <col min="12" max="12" width="19" customWidth="1"/>
    <col min="13" max="13" width="18.5546875" customWidth="1"/>
    <col min="14" max="14" width="19" customWidth="1"/>
  </cols>
  <sheetData>
    <row r="1" spans="1:14" ht="15.6" thickBot="1" x14ac:dyDescent="0.35">
      <c r="B1" s="147" t="s">
        <v>35</v>
      </c>
      <c r="C1" s="148"/>
      <c r="D1" s="148"/>
      <c r="E1" s="149"/>
    </row>
    <row r="2" spans="1:14" ht="15.6" thickBot="1" x14ac:dyDescent="0.35">
      <c r="A2" t="s">
        <v>57</v>
      </c>
      <c r="B2" s="9" t="s">
        <v>36</v>
      </c>
      <c r="C2" s="21" t="s">
        <v>37</v>
      </c>
      <c r="D2" s="22" t="s">
        <v>38</v>
      </c>
      <c r="E2" s="20" t="s">
        <v>30</v>
      </c>
      <c r="G2" s="9" t="s">
        <v>49</v>
      </c>
      <c r="H2" s="9" t="s">
        <v>53</v>
      </c>
      <c r="I2" s="9" t="s">
        <v>113</v>
      </c>
    </row>
    <row r="3" spans="1:14" ht="15.6" thickBot="1" x14ac:dyDescent="0.35">
      <c r="A3">
        <v>0</v>
      </c>
      <c r="B3" s="9" t="s">
        <v>39</v>
      </c>
      <c r="C3" s="14">
        <v>1.05</v>
      </c>
      <c r="D3" s="14">
        <v>1.25</v>
      </c>
      <c r="E3" s="14">
        <v>3.87</v>
      </c>
      <c r="G3" s="9" t="s">
        <v>50</v>
      </c>
      <c r="H3" s="12">
        <v>56</v>
      </c>
      <c r="I3" s="14">
        <f>$C$13*H3</f>
        <v>11.200000000000001</v>
      </c>
    </row>
    <row r="4" spans="1:14" ht="15.6" thickBot="1" x14ac:dyDescent="0.35">
      <c r="A4">
        <v>4000</v>
      </c>
      <c r="B4" s="9" t="s">
        <v>40</v>
      </c>
      <c r="C4" s="14">
        <v>1.52</v>
      </c>
      <c r="D4" s="14">
        <v>1.78</v>
      </c>
      <c r="E4" s="14">
        <v>3.92</v>
      </c>
      <c r="G4" s="9" t="s">
        <v>51</v>
      </c>
      <c r="H4" s="12">
        <v>40</v>
      </c>
      <c r="I4" s="14">
        <f t="shared" ref="I4:I5" si="0">$C$13*H4</f>
        <v>8</v>
      </c>
    </row>
    <row r="5" spans="1:14" ht="15.6" thickBot="1" x14ac:dyDescent="0.35">
      <c r="A5">
        <v>5200</v>
      </c>
      <c r="B5" s="9" t="s">
        <v>41</v>
      </c>
      <c r="C5" s="14">
        <v>2.09</v>
      </c>
      <c r="D5" s="14">
        <v>2.19</v>
      </c>
      <c r="E5" s="14">
        <v>3.97</v>
      </c>
      <c r="G5" s="9" t="s">
        <v>52</v>
      </c>
      <c r="H5" s="12">
        <v>42</v>
      </c>
      <c r="I5" s="14">
        <f t="shared" si="0"/>
        <v>8.4</v>
      </c>
    </row>
    <row r="6" spans="1:14" ht="15.6" thickBot="1" x14ac:dyDescent="0.35">
      <c r="A6">
        <v>6400</v>
      </c>
      <c r="B6" s="9" t="s">
        <v>42</v>
      </c>
      <c r="C6" s="14">
        <v>2.5099999999999998</v>
      </c>
      <c r="D6" s="14">
        <v>2.61</v>
      </c>
      <c r="E6" s="14">
        <v>4.0199999999999996</v>
      </c>
    </row>
    <row r="7" spans="1:14" ht="15.6" thickBot="1" x14ac:dyDescent="0.35">
      <c r="A7">
        <v>8000</v>
      </c>
      <c r="B7" s="9" t="s">
        <v>43</v>
      </c>
      <c r="C7" s="14">
        <v>2.72</v>
      </c>
      <c r="D7" s="14">
        <v>3.55</v>
      </c>
      <c r="E7" s="14">
        <v>4.08</v>
      </c>
    </row>
    <row r="8" spans="1:14" ht="15.6" thickBot="1" x14ac:dyDescent="0.35">
      <c r="A8">
        <v>9600</v>
      </c>
      <c r="B8" s="9" t="s">
        <v>44</v>
      </c>
      <c r="C8" s="14">
        <v>3.55</v>
      </c>
      <c r="D8" s="14">
        <v>3.76</v>
      </c>
      <c r="E8" s="14">
        <v>4.13</v>
      </c>
    </row>
    <row r="9" spans="1:14" ht="15.6" thickBot="1" x14ac:dyDescent="0.35">
      <c r="A9">
        <v>11000</v>
      </c>
      <c r="B9" s="9" t="s">
        <v>45</v>
      </c>
      <c r="C9" s="14">
        <v>3.97</v>
      </c>
      <c r="D9" s="14">
        <v>3.97</v>
      </c>
      <c r="E9" s="14">
        <v>4.18</v>
      </c>
    </row>
    <row r="10" spans="1:14" ht="15.6" thickBot="1" x14ac:dyDescent="0.35">
      <c r="A10">
        <v>15000</v>
      </c>
      <c r="B10" s="9" t="s">
        <v>46</v>
      </c>
      <c r="C10" s="14">
        <v>4.3899999999999997</v>
      </c>
      <c r="D10" s="14">
        <v>4.3899999999999997</v>
      </c>
      <c r="E10" s="14">
        <v>4.3899999999999997</v>
      </c>
    </row>
    <row r="11" spans="1:14" ht="15.6" thickBot="1" x14ac:dyDescent="0.35">
      <c r="A11">
        <v>20000</v>
      </c>
      <c r="B11" s="9" t="s">
        <v>47</v>
      </c>
      <c r="C11" s="14">
        <v>4.91</v>
      </c>
      <c r="D11" s="14">
        <v>4.91</v>
      </c>
      <c r="E11" s="14">
        <v>4.91</v>
      </c>
    </row>
    <row r="12" spans="1:14" ht="15.6" thickBot="1" x14ac:dyDescent="0.35">
      <c r="A12">
        <v>30000</v>
      </c>
      <c r="B12" s="9" t="s">
        <v>48</v>
      </c>
      <c r="C12" s="14">
        <v>5.43</v>
      </c>
      <c r="D12" s="14">
        <v>5.43</v>
      </c>
      <c r="E12" s="14">
        <v>5.43</v>
      </c>
    </row>
    <row r="13" spans="1:14" ht="15.6" thickBot="1" x14ac:dyDescent="0.35">
      <c r="B13" s="101" t="s">
        <v>113</v>
      </c>
      <c r="C13" s="159">
        <v>0.2</v>
      </c>
      <c r="D13" s="160"/>
      <c r="E13" s="161"/>
    </row>
    <row r="15" spans="1:14" ht="15.6" thickBot="1" x14ac:dyDescent="0.35">
      <c r="C15" s="150" t="s">
        <v>118</v>
      </c>
      <c r="D15" s="151"/>
      <c r="E15" s="151"/>
      <c r="F15" s="152"/>
      <c r="G15" s="153" t="s">
        <v>119</v>
      </c>
      <c r="H15" s="154"/>
      <c r="I15" s="154"/>
      <c r="J15" s="155"/>
      <c r="K15" s="156" t="s">
        <v>120</v>
      </c>
      <c r="L15" s="157"/>
      <c r="M15" s="157"/>
      <c r="N15" s="158"/>
    </row>
    <row r="16" spans="1:14" ht="17.399999999999999" thickBot="1" x14ac:dyDescent="0.35">
      <c r="A16" t="s">
        <v>57</v>
      </c>
      <c r="B16" s="9" t="s">
        <v>36</v>
      </c>
      <c r="C16" s="16" t="s">
        <v>2</v>
      </c>
      <c r="D16" s="17" t="s">
        <v>54</v>
      </c>
      <c r="E16" s="15" t="s">
        <v>55</v>
      </c>
      <c r="F16" s="15" t="s">
        <v>56</v>
      </c>
      <c r="G16" s="16" t="s">
        <v>2</v>
      </c>
      <c r="H16" s="17" t="s">
        <v>54</v>
      </c>
      <c r="I16" s="15" t="s">
        <v>55</v>
      </c>
      <c r="J16" s="15" t="s">
        <v>56</v>
      </c>
      <c r="K16" s="16" t="s">
        <v>2</v>
      </c>
      <c r="L16" s="17" t="s">
        <v>54</v>
      </c>
      <c r="M16" s="15" t="s">
        <v>55</v>
      </c>
      <c r="N16" s="15" t="s">
        <v>56</v>
      </c>
    </row>
    <row r="17" spans="1:14" ht="15.6" thickBot="1" x14ac:dyDescent="0.35">
      <c r="A17">
        <v>0</v>
      </c>
      <c r="B17" s="9" t="s">
        <v>39</v>
      </c>
      <c r="C17" s="18">
        <f>D17+E17+F17</f>
        <v>144.9</v>
      </c>
      <c r="D17" s="19">
        <f>$C3*$H$3</f>
        <v>58.800000000000004</v>
      </c>
      <c r="E17" s="19">
        <f>$C3*$H$4</f>
        <v>42</v>
      </c>
      <c r="F17" s="19">
        <f>$C3*$H$5</f>
        <v>44.1</v>
      </c>
      <c r="G17" s="18">
        <f>H17+I17+J17</f>
        <v>172.5</v>
      </c>
      <c r="H17" s="19">
        <f>$D3*$H$3</f>
        <v>70</v>
      </c>
      <c r="I17" s="19">
        <f>$D3*$H$4</f>
        <v>50</v>
      </c>
      <c r="J17" s="19">
        <f>$D3*$H$5</f>
        <v>52.5</v>
      </c>
      <c r="K17" s="18">
        <f>L17+M17+N17</f>
        <v>534.05999999999995</v>
      </c>
      <c r="L17" s="19">
        <f>$E3*$H$3</f>
        <v>216.72</v>
      </c>
      <c r="M17" s="19">
        <f>$E3*$H$4</f>
        <v>154.80000000000001</v>
      </c>
      <c r="N17" s="19">
        <f>$E3*$H$5</f>
        <v>162.54</v>
      </c>
    </row>
    <row r="18" spans="1:14" ht="15.6" thickBot="1" x14ac:dyDescent="0.35">
      <c r="A18">
        <v>4000</v>
      </c>
      <c r="B18" s="9" t="s">
        <v>40</v>
      </c>
      <c r="C18" s="18">
        <f t="shared" ref="C18:C26" si="1">D18+E18+F18</f>
        <v>209.76000000000002</v>
      </c>
      <c r="D18" s="19">
        <f t="shared" ref="D18:D26" si="2">$C4*$H$3</f>
        <v>85.12</v>
      </c>
      <c r="E18" s="19">
        <f t="shared" ref="E18:E26" si="3">$C4*$H$4</f>
        <v>60.8</v>
      </c>
      <c r="F18" s="19">
        <f t="shared" ref="F18:F26" si="4">$C4*$H$5</f>
        <v>63.84</v>
      </c>
      <c r="G18" s="18">
        <f t="shared" ref="G18:G19" si="5">H18+I18+J18</f>
        <v>245.64</v>
      </c>
      <c r="H18" s="19">
        <f t="shared" ref="H18:H26" si="6">$D4*$H$3</f>
        <v>99.68</v>
      </c>
      <c r="I18" s="19">
        <f t="shared" ref="I18:I26" si="7">$D4*$H$4</f>
        <v>71.2</v>
      </c>
      <c r="J18" s="19">
        <f t="shared" ref="J18:J26" si="8">$D4*$H$5</f>
        <v>74.760000000000005</v>
      </c>
      <c r="K18" s="18">
        <f t="shared" ref="K18:K19" si="9">L18+M18+N18</f>
        <v>540.96</v>
      </c>
      <c r="L18" s="19">
        <f t="shared" ref="L18:L26" si="10">$E4*$H$3</f>
        <v>219.51999999999998</v>
      </c>
      <c r="M18" s="19">
        <f t="shared" ref="M18:M26" si="11">$E4*$H$4</f>
        <v>156.80000000000001</v>
      </c>
      <c r="N18" s="19">
        <f t="shared" ref="N18:N26" si="12">$E4*$H$5</f>
        <v>164.64</v>
      </c>
    </row>
    <row r="19" spans="1:14" ht="15.6" thickBot="1" x14ac:dyDescent="0.35">
      <c r="A19">
        <v>5200</v>
      </c>
      <c r="B19" s="9" t="s">
        <v>41</v>
      </c>
      <c r="C19" s="18">
        <f t="shared" si="1"/>
        <v>288.41999999999996</v>
      </c>
      <c r="D19" s="19">
        <f t="shared" si="2"/>
        <v>117.03999999999999</v>
      </c>
      <c r="E19" s="19">
        <f t="shared" si="3"/>
        <v>83.6</v>
      </c>
      <c r="F19" s="19">
        <f t="shared" si="4"/>
        <v>87.78</v>
      </c>
      <c r="G19" s="18">
        <f t="shared" si="5"/>
        <v>302.22000000000003</v>
      </c>
      <c r="H19" s="19">
        <f t="shared" si="6"/>
        <v>122.64</v>
      </c>
      <c r="I19" s="19">
        <f t="shared" si="7"/>
        <v>87.6</v>
      </c>
      <c r="J19" s="19">
        <f t="shared" si="8"/>
        <v>91.98</v>
      </c>
      <c r="K19" s="18">
        <f t="shared" si="9"/>
        <v>547.86</v>
      </c>
      <c r="L19" s="19">
        <f t="shared" si="10"/>
        <v>222.32000000000002</v>
      </c>
      <c r="M19" s="19">
        <f t="shared" si="11"/>
        <v>158.80000000000001</v>
      </c>
      <c r="N19" s="19">
        <f t="shared" si="12"/>
        <v>166.74</v>
      </c>
    </row>
    <row r="20" spans="1:14" ht="15.6" thickBot="1" x14ac:dyDescent="0.35">
      <c r="A20">
        <v>6400</v>
      </c>
      <c r="B20" s="9" t="s">
        <v>42</v>
      </c>
      <c r="C20" s="18">
        <f>D20+E20+F20</f>
        <v>346.38</v>
      </c>
      <c r="D20" s="19">
        <f t="shared" si="2"/>
        <v>140.56</v>
      </c>
      <c r="E20" s="19">
        <f t="shared" si="3"/>
        <v>100.39999999999999</v>
      </c>
      <c r="F20" s="19">
        <f t="shared" si="4"/>
        <v>105.41999999999999</v>
      </c>
      <c r="G20" s="18">
        <f>H20+I20+J20</f>
        <v>360.18</v>
      </c>
      <c r="H20" s="19">
        <f t="shared" si="6"/>
        <v>146.16</v>
      </c>
      <c r="I20" s="19">
        <f t="shared" si="7"/>
        <v>104.39999999999999</v>
      </c>
      <c r="J20" s="19">
        <f t="shared" si="8"/>
        <v>109.61999999999999</v>
      </c>
      <c r="K20" s="18">
        <f>L20+M20+N20</f>
        <v>554.76</v>
      </c>
      <c r="L20" s="19">
        <f t="shared" si="10"/>
        <v>225.11999999999998</v>
      </c>
      <c r="M20" s="19">
        <f t="shared" si="11"/>
        <v>160.79999999999998</v>
      </c>
      <c r="N20" s="19">
        <f t="shared" si="12"/>
        <v>168.83999999999997</v>
      </c>
    </row>
    <row r="21" spans="1:14" ht="15.6" thickBot="1" x14ac:dyDescent="0.35">
      <c r="A21">
        <v>8000</v>
      </c>
      <c r="B21" s="9" t="s">
        <v>43</v>
      </c>
      <c r="C21" s="18">
        <f t="shared" si="1"/>
        <v>375.36</v>
      </c>
      <c r="D21" s="19">
        <f t="shared" si="2"/>
        <v>152.32000000000002</v>
      </c>
      <c r="E21" s="19">
        <f t="shared" si="3"/>
        <v>108.80000000000001</v>
      </c>
      <c r="F21" s="19">
        <f t="shared" si="4"/>
        <v>114.24000000000001</v>
      </c>
      <c r="G21" s="18">
        <f t="shared" ref="G21:G26" si="13">H21+I21+J21</f>
        <v>489.9</v>
      </c>
      <c r="H21" s="19">
        <f t="shared" si="6"/>
        <v>198.79999999999998</v>
      </c>
      <c r="I21" s="19">
        <f t="shared" si="7"/>
        <v>142</v>
      </c>
      <c r="J21" s="19">
        <f t="shared" si="8"/>
        <v>149.1</v>
      </c>
      <c r="K21" s="18">
        <f t="shared" ref="K21:K26" si="14">L21+M21+N21</f>
        <v>563.04</v>
      </c>
      <c r="L21" s="19">
        <f t="shared" si="10"/>
        <v>228.48000000000002</v>
      </c>
      <c r="M21" s="19">
        <f t="shared" si="11"/>
        <v>163.19999999999999</v>
      </c>
      <c r="N21" s="19">
        <f t="shared" si="12"/>
        <v>171.36</v>
      </c>
    </row>
    <row r="22" spans="1:14" ht="15.6" thickBot="1" x14ac:dyDescent="0.35">
      <c r="A22">
        <v>9600</v>
      </c>
      <c r="B22" s="9" t="s">
        <v>44</v>
      </c>
      <c r="C22" s="18">
        <f t="shared" si="1"/>
        <v>489.9</v>
      </c>
      <c r="D22" s="19">
        <f t="shared" si="2"/>
        <v>198.79999999999998</v>
      </c>
      <c r="E22" s="19">
        <f t="shared" si="3"/>
        <v>142</v>
      </c>
      <c r="F22" s="19">
        <f t="shared" si="4"/>
        <v>149.1</v>
      </c>
      <c r="G22" s="18">
        <f t="shared" si="13"/>
        <v>518.88</v>
      </c>
      <c r="H22" s="19">
        <f t="shared" si="6"/>
        <v>210.56</v>
      </c>
      <c r="I22" s="19">
        <f t="shared" si="7"/>
        <v>150.39999999999998</v>
      </c>
      <c r="J22" s="19">
        <f t="shared" si="8"/>
        <v>157.91999999999999</v>
      </c>
      <c r="K22" s="18">
        <f t="shared" si="14"/>
        <v>569.94000000000005</v>
      </c>
      <c r="L22" s="19">
        <f t="shared" si="10"/>
        <v>231.28</v>
      </c>
      <c r="M22" s="19">
        <f t="shared" si="11"/>
        <v>165.2</v>
      </c>
      <c r="N22" s="19">
        <f t="shared" si="12"/>
        <v>173.46</v>
      </c>
    </row>
    <row r="23" spans="1:14" ht="15.6" thickBot="1" x14ac:dyDescent="0.35">
      <c r="A23">
        <v>11000</v>
      </c>
      <c r="B23" s="9" t="s">
        <v>45</v>
      </c>
      <c r="C23" s="18">
        <f t="shared" si="1"/>
        <v>547.86</v>
      </c>
      <c r="D23" s="19">
        <f t="shared" si="2"/>
        <v>222.32000000000002</v>
      </c>
      <c r="E23" s="19">
        <f t="shared" si="3"/>
        <v>158.80000000000001</v>
      </c>
      <c r="F23" s="19">
        <f t="shared" si="4"/>
        <v>166.74</v>
      </c>
      <c r="G23" s="18">
        <f t="shared" si="13"/>
        <v>547.86</v>
      </c>
      <c r="H23" s="19">
        <f t="shared" si="6"/>
        <v>222.32000000000002</v>
      </c>
      <c r="I23" s="19">
        <f t="shared" si="7"/>
        <v>158.80000000000001</v>
      </c>
      <c r="J23" s="19">
        <f t="shared" si="8"/>
        <v>166.74</v>
      </c>
      <c r="K23" s="18">
        <f t="shared" si="14"/>
        <v>576.83999999999992</v>
      </c>
      <c r="L23" s="19">
        <f>$E9*$H$3</f>
        <v>234.07999999999998</v>
      </c>
      <c r="M23" s="19">
        <f>$E9*$H$4</f>
        <v>167.2</v>
      </c>
      <c r="N23" s="19">
        <f>$E9*$H$5</f>
        <v>175.56</v>
      </c>
    </row>
    <row r="24" spans="1:14" ht="15.6" thickBot="1" x14ac:dyDescent="0.35">
      <c r="A24">
        <v>15000</v>
      </c>
      <c r="B24" s="9" t="s">
        <v>46</v>
      </c>
      <c r="C24" s="18">
        <f t="shared" si="1"/>
        <v>605.81999999999994</v>
      </c>
      <c r="D24" s="19">
        <f t="shared" si="2"/>
        <v>245.83999999999997</v>
      </c>
      <c r="E24" s="19">
        <f t="shared" si="3"/>
        <v>175.6</v>
      </c>
      <c r="F24" s="19">
        <f t="shared" si="4"/>
        <v>184.38</v>
      </c>
      <c r="G24" s="18">
        <f t="shared" si="13"/>
        <v>605.81999999999994</v>
      </c>
      <c r="H24" s="19">
        <f t="shared" si="6"/>
        <v>245.83999999999997</v>
      </c>
      <c r="I24" s="19">
        <f t="shared" si="7"/>
        <v>175.6</v>
      </c>
      <c r="J24" s="19">
        <f t="shared" si="8"/>
        <v>184.38</v>
      </c>
      <c r="K24" s="18">
        <f t="shared" si="14"/>
        <v>605.81999999999994</v>
      </c>
      <c r="L24" s="19">
        <f t="shared" si="10"/>
        <v>245.83999999999997</v>
      </c>
      <c r="M24" s="19">
        <f t="shared" si="11"/>
        <v>175.6</v>
      </c>
      <c r="N24" s="19">
        <f t="shared" si="12"/>
        <v>184.38</v>
      </c>
    </row>
    <row r="25" spans="1:14" ht="15.6" thickBot="1" x14ac:dyDescent="0.35">
      <c r="A25">
        <v>20000</v>
      </c>
      <c r="B25" s="9" t="s">
        <v>47</v>
      </c>
      <c r="C25" s="18">
        <f t="shared" si="1"/>
        <v>677.58</v>
      </c>
      <c r="D25" s="19">
        <f t="shared" si="2"/>
        <v>274.96000000000004</v>
      </c>
      <c r="E25" s="19">
        <f t="shared" si="3"/>
        <v>196.4</v>
      </c>
      <c r="F25" s="19">
        <f t="shared" si="4"/>
        <v>206.22</v>
      </c>
      <c r="G25" s="18">
        <f t="shared" si="13"/>
        <v>677.58</v>
      </c>
      <c r="H25" s="19">
        <f t="shared" si="6"/>
        <v>274.96000000000004</v>
      </c>
      <c r="I25" s="19">
        <f t="shared" si="7"/>
        <v>196.4</v>
      </c>
      <c r="J25" s="19">
        <f t="shared" si="8"/>
        <v>206.22</v>
      </c>
      <c r="K25" s="18">
        <f t="shared" si="14"/>
        <v>677.58</v>
      </c>
      <c r="L25" s="19">
        <f t="shared" si="10"/>
        <v>274.96000000000004</v>
      </c>
      <c r="M25" s="19">
        <f t="shared" si="11"/>
        <v>196.4</v>
      </c>
      <c r="N25" s="19">
        <f t="shared" si="12"/>
        <v>206.22</v>
      </c>
    </row>
    <row r="26" spans="1:14" ht="15.6" thickBot="1" x14ac:dyDescent="0.35">
      <c r="A26">
        <v>30000</v>
      </c>
      <c r="B26" s="9" t="s">
        <v>48</v>
      </c>
      <c r="C26" s="18">
        <f t="shared" si="1"/>
        <v>749.33999999999992</v>
      </c>
      <c r="D26" s="19">
        <f t="shared" si="2"/>
        <v>304.08</v>
      </c>
      <c r="E26" s="19">
        <f t="shared" si="3"/>
        <v>217.2</v>
      </c>
      <c r="F26" s="19">
        <f t="shared" si="4"/>
        <v>228.06</v>
      </c>
      <c r="G26" s="18">
        <f t="shared" si="13"/>
        <v>749.33999999999992</v>
      </c>
      <c r="H26" s="19">
        <f t="shared" si="6"/>
        <v>304.08</v>
      </c>
      <c r="I26" s="19">
        <f t="shared" si="7"/>
        <v>217.2</v>
      </c>
      <c r="J26" s="19">
        <f t="shared" si="8"/>
        <v>228.06</v>
      </c>
      <c r="K26" s="18">
        <f t="shared" si="14"/>
        <v>749.33999999999992</v>
      </c>
      <c r="L26" s="19">
        <f t="shared" si="10"/>
        <v>304.08</v>
      </c>
      <c r="M26" s="19">
        <f t="shared" si="11"/>
        <v>217.2</v>
      </c>
      <c r="N26" s="19">
        <f t="shared" si="12"/>
        <v>228.06</v>
      </c>
    </row>
  </sheetData>
  <sheetProtection sheet="1" objects="1" scenarios="1"/>
  <mergeCells count="5">
    <mergeCell ref="B1:E1"/>
    <mergeCell ref="C15:F15"/>
    <mergeCell ref="G15:J15"/>
    <mergeCell ref="K15:N15"/>
    <mergeCell ref="C13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AD4C-F52D-4697-911A-5109BBE5A0D0}">
  <sheetPr codeName="Feuil6"/>
  <dimension ref="A1:M21"/>
  <sheetViews>
    <sheetView topLeftCell="A2" workbookViewId="0">
      <selection activeCell="A2" sqref="A2"/>
    </sheetView>
  </sheetViews>
  <sheetFormatPr baseColWidth="10" defaultRowHeight="15.6" x14ac:dyDescent="0.3"/>
  <cols>
    <col min="2" max="2" width="21.33203125" customWidth="1"/>
    <col min="3" max="3" width="18.6640625" customWidth="1"/>
    <col min="4" max="4" width="17.44140625" customWidth="1"/>
    <col min="5" max="5" width="16.33203125" customWidth="1"/>
    <col min="6" max="6" width="17.6640625" customWidth="1"/>
    <col min="7" max="7" width="19.33203125" customWidth="1"/>
    <col min="8" max="8" width="17.109375" customWidth="1"/>
    <col min="11" max="11" width="18.6640625" style="28" bestFit="1" customWidth="1"/>
    <col min="12" max="13" width="11.44140625" style="28"/>
  </cols>
  <sheetData>
    <row r="1" spans="1:13" ht="17.399999999999999" thickBot="1" x14ac:dyDescent="0.35">
      <c r="B1" s="162" t="s">
        <v>58</v>
      </c>
      <c r="C1" s="163"/>
      <c r="D1" s="163"/>
      <c r="E1" s="163"/>
      <c r="F1" s="163"/>
      <c r="G1" s="163"/>
      <c r="H1" s="164"/>
    </row>
    <row r="2" spans="1:13" ht="34.950000000000003" customHeight="1" thickBot="1" x14ac:dyDescent="0.35">
      <c r="B2" s="165" t="s">
        <v>59</v>
      </c>
      <c r="C2" s="167" t="s">
        <v>138</v>
      </c>
      <c r="D2" s="168"/>
      <c r="E2" s="167" t="s">
        <v>137</v>
      </c>
      <c r="F2" s="168"/>
      <c r="G2" s="167" t="s">
        <v>136</v>
      </c>
      <c r="H2" s="168"/>
      <c r="K2" s="114" t="s">
        <v>154</v>
      </c>
      <c r="L2" s="114" t="s">
        <v>153</v>
      </c>
      <c r="M2" s="114" t="s">
        <v>155</v>
      </c>
    </row>
    <row r="3" spans="1:13" ht="17.399999999999999" thickBot="1" x14ac:dyDescent="0.35">
      <c r="A3" t="s">
        <v>75</v>
      </c>
      <c r="B3" s="166"/>
      <c r="C3" s="23" t="s">
        <v>2</v>
      </c>
      <c r="D3" s="24" t="s">
        <v>3</v>
      </c>
      <c r="E3" s="23" t="s">
        <v>2</v>
      </c>
      <c r="F3" s="24" t="s">
        <v>3</v>
      </c>
      <c r="G3" s="23" t="s">
        <v>2</v>
      </c>
      <c r="H3" s="24" t="s">
        <v>3</v>
      </c>
      <c r="K3" s="110" t="s">
        <v>146</v>
      </c>
      <c r="L3" s="115">
        <v>4.1666666666666664E-2</v>
      </c>
      <c r="M3" s="116">
        <f>L3/$L$9</f>
        <v>0.2</v>
      </c>
    </row>
    <row r="4" spans="1:13" ht="17.399999999999999" thickBot="1" x14ac:dyDescent="0.35">
      <c r="A4">
        <v>0</v>
      </c>
      <c r="B4" s="25" t="s">
        <v>60</v>
      </c>
      <c r="C4" s="4">
        <v>85</v>
      </c>
      <c r="D4" s="5">
        <f>C4/3</f>
        <v>28.333333333333332</v>
      </c>
      <c r="E4" s="4">
        <v>59</v>
      </c>
      <c r="F4" s="5">
        <f>E4/3</f>
        <v>19.666666666666668</v>
      </c>
      <c r="G4" s="4">
        <v>51</v>
      </c>
      <c r="H4" s="5">
        <f>G4/3</f>
        <v>17</v>
      </c>
      <c r="I4" s="119"/>
      <c r="K4" s="110" t="s">
        <v>147</v>
      </c>
      <c r="L4" s="115">
        <v>6.25E-2</v>
      </c>
      <c r="M4" s="116">
        <f t="shared" ref="M4:M9" si="0">L4/$L$9</f>
        <v>0.30000000000000004</v>
      </c>
    </row>
    <row r="5" spans="1:13" ht="17.399999999999999" thickBot="1" x14ac:dyDescent="0.35">
      <c r="A5">
        <v>4755</v>
      </c>
      <c r="B5" s="25" t="s">
        <v>61</v>
      </c>
      <c r="C5" s="4">
        <v>91</v>
      </c>
      <c r="D5" s="5">
        <f t="shared" ref="D5:D21" si="1">C5/3</f>
        <v>30.333333333333332</v>
      </c>
      <c r="E5" s="4">
        <v>64</v>
      </c>
      <c r="F5" s="5">
        <f t="shared" ref="F5:F21" si="2">E5/3</f>
        <v>21.333333333333332</v>
      </c>
      <c r="G5" s="4">
        <v>55</v>
      </c>
      <c r="H5" s="5">
        <f t="shared" ref="H5:H21" si="3">G5/3</f>
        <v>18.333333333333332</v>
      </c>
      <c r="I5" s="119"/>
      <c r="K5" s="110" t="s">
        <v>148</v>
      </c>
      <c r="L5" s="115">
        <v>0.10416666666666667</v>
      </c>
      <c r="M5" s="116">
        <f t="shared" si="0"/>
        <v>0.50000000000000011</v>
      </c>
    </row>
    <row r="6" spans="1:13" ht="17.399999999999999" thickBot="1" x14ac:dyDescent="0.35">
      <c r="A6">
        <v>9415</v>
      </c>
      <c r="B6" s="25" t="s">
        <v>62</v>
      </c>
      <c r="C6" s="4">
        <v>103</v>
      </c>
      <c r="D6" s="5">
        <f t="shared" si="1"/>
        <v>34.333333333333336</v>
      </c>
      <c r="E6" s="4">
        <v>72</v>
      </c>
      <c r="F6" s="5">
        <f t="shared" si="2"/>
        <v>24</v>
      </c>
      <c r="G6" s="4">
        <v>62</v>
      </c>
      <c r="H6" s="5">
        <f t="shared" si="3"/>
        <v>20.666666666666668</v>
      </c>
      <c r="I6" s="119"/>
      <c r="K6" s="110" t="s">
        <v>149</v>
      </c>
      <c r="L6" s="115">
        <f>L3+L4</f>
        <v>0.10416666666666666</v>
      </c>
      <c r="M6" s="116">
        <f t="shared" si="0"/>
        <v>0.5</v>
      </c>
    </row>
    <row r="7" spans="1:13" ht="17.399999999999999" thickBot="1" x14ac:dyDescent="0.35">
      <c r="A7">
        <v>12751</v>
      </c>
      <c r="B7" s="25" t="s">
        <v>63</v>
      </c>
      <c r="C7" s="4">
        <v>125</v>
      </c>
      <c r="D7" s="5">
        <f t="shared" si="1"/>
        <v>41.666666666666664</v>
      </c>
      <c r="E7" s="4">
        <v>88</v>
      </c>
      <c r="F7" s="5">
        <f t="shared" si="2"/>
        <v>29.333333333333332</v>
      </c>
      <c r="G7" s="4">
        <v>75</v>
      </c>
      <c r="H7" s="5">
        <f t="shared" si="3"/>
        <v>25</v>
      </c>
      <c r="I7" s="119"/>
      <c r="K7" s="110" t="s">
        <v>150</v>
      </c>
      <c r="L7" s="115">
        <f>L4+L5</f>
        <v>0.16666666666666669</v>
      </c>
      <c r="M7" s="116">
        <f t="shared" si="0"/>
        <v>0.80000000000000016</v>
      </c>
    </row>
    <row r="8" spans="1:13" ht="17.399999999999999" thickBot="1" x14ac:dyDescent="0.35">
      <c r="A8">
        <v>16122</v>
      </c>
      <c r="B8" s="25" t="s">
        <v>64</v>
      </c>
      <c r="C8" s="4">
        <v>157</v>
      </c>
      <c r="D8" s="5">
        <f t="shared" si="1"/>
        <v>52.333333333333336</v>
      </c>
      <c r="E8" s="4">
        <v>110</v>
      </c>
      <c r="F8" s="5">
        <f t="shared" si="2"/>
        <v>36.666666666666664</v>
      </c>
      <c r="G8" s="4">
        <v>94</v>
      </c>
      <c r="H8" s="5">
        <f t="shared" si="3"/>
        <v>31.333333333333332</v>
      </c>
      <c r="I8" s="119"/>
      <c r="K8" s="110" t="s">
        <v>151</v>
      </c>
      <c r="L8" s="115">
        <f>L3+L5</f>
        <v>0.14583333333333334</v>
      </c>
      <c r="M8" s="116">
        <f t="shared" si="0"/>
        <v>0.70000000000000007</v>
      </c>
    </row>
    <row r="9" spans="1:13" ht="17.399999999999999" thickBot="1" x14ac:dyDescent="0.35">
      <c r="A9">
        <v>19515</v>
      </c>
      <c r="B9" s="25" t="s">
        <v>65</v>
      </c>
      <c r="C9" s="4">
        <v>188</v>
      </c>
      <c r="D9" s="5">
        <f t="shared" si="1"/>
        <v>62.666666666666664</v>
      </c>
      <c r="E9" s="4">
        <v>132</v>
      </c>
      <c r="F9" s="5">
        <f t="shared" si="2"/>
        <v>44</v>
      </c>
      <c r="G9" s="4">
        <v>113</v>
      </c>
      <c r="H9" s="5">
        <f t="shared" si="3"/>
        <v>37.666666666666664</v>
      </c>
      <c r="I9" s="119"/>
      <c r="K9" s="110" t="s">
        <v>152</v>
      </c>
      <c r="L9" s="115">
        <f>SUM(L3:L5)</f>
        <v>0.20833333333333331</v>
      </c>
      <c r="M9" s="116">
        <f t="shared" si="0"/>
        <v>1</v>
      </c>
    </row>
    <row r="10" spans="1:13" ht="17.399999999999999" thickBot="1" x14ac:dyDescent="0.35">
      <c r="A10">
        <v>23002</v>
      </c>
      <c r="B10" s="25" t="s">
        <v>66</v>
      </c>
      <c r="C10" s="4">
        <v>219</v>
      </c>
      <c r="D10" s="5">
        <f t="shared" si="1"/>
        <v>73</v>
      </c>
      <c r="E10" s="4">
        <v>154</v>
      </c>
      <c r="F10" s="5">
        <f t="shared" si="2"/>
        <v>51.333333333333336</v>
      </c>
      <c r="G10" s="4">
        <v>131</v>
      </c>
      <c r="H10" s="5">
        <f t="shared" si="3"/>
        <v>43.666666666666664</v>
      </c>
      <c r="I10" s="119"/>
    </row>
    <row r="11" spans="1:13" ht="17.399999999999999" thickBot="1" x14ac:dyDescent="0.35">
      <c r="A11">
        <v>26622</v>
      </c>
      <c r="B11" s="25" t="s">
        <v>67</v>
      </c>
      <c r="C11" s="4">
        <v>251</v>
      </c>
      <c r="D11" s="5">
        <f t="shared" si="1"/>
        <v>83.666666666666671</v>
      </c>
      <c r="E11" s="4">
        <v>176</v>
      </c>
      <c r="F11" s="5">
        <f t="shared" si="2"/>
        <v>58.666666666666664</v>
      </c>
      <c r="G11" s="4">
        <v>151</v>
      </c>
      <c r="H11" s="5">
        <f t="shared" si="3"/>
        <v>50.333333333333336</v>
      </c>
      <c r="I11" s="119"/>
    </row>
    <row r="12" spans="1:13" ht="17.399999999999999" thickBot="1" x14ac:dyDescent="0.35">
      <c r="A12">
        <v>30186</v>
      </c>
      <c r="B12" s="25" t="s">
        <v>68</v>
      </c>
      <c r="C12" s="4">
        <v>282</v>
      </c>
      <c r="D12" s="5">
        <f t="shared" si="1"/>
        <v>94</v>
      </c>
      <c r="E12" s="4">
        <v>198</v>
      </c>
      <c r="F12" s="5">
        <f t="shared" si="2"/>
        <v>66</v>
      </c>
      <c r="G12" s="4">
        <v>170</v>
      </c>
      <c r="H12" s="5">
        <f t="shared" si="3"/>
        <v>56.666666666666664</v>
      </c>
      <c r="I12" s="119"/>
    </row>
    <row r="13" spans="1:13" ht="17.399999999999999" thickBot="1" x14ac:dyDescent="0.35">
      <c r="A13">
        <v>33845</v>
      </c>
      <c r="B13" s="25" t="s">
        <v>69</v>
      </c>
      <c r="C13" s="4">
        <v>314</v>
      </c>
      <c r="D13" s="5">
        <f t="shared" si="1"/>
        <v>104.66666666666667</v>
      </c>
      <c r="E13" s="4">
        <v>219</v>
      </c>
      <c r="F13" s="5">
        <f t="shared" si="2"/>
        <v>73</v>
      </c>
      <c r="G13" s="4">
        <v>188</v>
      </c>
      <c r="H13" s="5">
        <f t="shared" si="3"/>
        <v>62.666666666666664</v>
      </c>
      <c r="I13" s="119"/>
    </row>
    <row r="14" spans="1:13" ht="17.399999999999999" thickBot="1" x14ac:dyDescent="0.35">
      <c r="A14">
        <v>37617</v>
      </c>
      <c r="B14" s="25" t="s">
        <v>70</v>
      </c>
      <c r="C14" s="4">
        <v>345</v>
      </c>
      <c r="D14" s="5">
        <f t="shared" si="1"/>
        <v>115</v>
      </c>
      <c r="E14" s="4">
        <v>241</v>
      </c>
      <c r="F14" s="5">
        <f t="shared" si="2"/>
        <v>80.333333333333329</v>
      </c>
      <c r="G14" s="4">
        <v>207</v>
      </c>
      <c r="H14" s="5">
        <f t="shared" si="3"/>
        <v>69</v>
      </c>
      <c r="I14" s="119"/>
    </row>
    <row r="15" spans="1:13" ht="17.399999999999999" thickBot="1" x14ac:dyDescent="0.35">
      <c r="A15">
        <v>41391</v>
      </c>
      <c r="B15" s="25" t="s">
        <v>71</v>
      </c>
      <c r="C15" s="4">
        <v>376</v>
      </c>
      <c r="D15" s="5">
        <f t="shared" si="1"/>
        <v>125.33333333333333</v>
      </c>
      <c r="E15" s="4">
        <v>263</v>
      </c>
      <c r="F15" s="5">
        <f t="shared" si="2"/>
        <v>87.666666666666671</v>
      </c>
      <c r="G15" s="4">
        <v>226</v>
      </c>
      <c r="H15" s="5">
        <f t="shared" si="3"/>
        <v>75.333333333333329</v>
      </c>
      <c r="I15" s="119"/>
    </row>
    <row r="16" spans="1:13" ht="17.399999999999999" thickBot="1" x14ac:dyDescent="0.35">
      <c r="A16">
        <v>45337</v>
      </c>
      <c r="B16" s="25" t="s">
        <v>72</v>
      </c>
      <c r="C16" s="4">
        <v>408</v>
      </c>
      <c r="D16" s="5">
        <f t="shared" si="1"/>
        <v>136</v>
      </c>
      <c r="E16" s="4">
        <v>285</v>
      </c>
      <c r="F16" s="5">
        <f t="shared" si="2"/>
        <v>95</v>
      </c>
      <c r="G16" s="4">
        <v>245</v>
      </c>
      <c r="H16" s="5">
        <f t="shared" si="3"/>
        <v>81.666666666666671</v>
      </c>
      <c r="I16" s="119"/>
    </row>
    <row r="17" spans="1:9" ht="17.399999999999999" thickBot="1" x14ac:dyDescent="0.35">
      <c r="A17">
        <v>50284</v>
      </c>
      <c r="B17" s="25" t="s">
        <v>73</v>
      </c>
      <c r="C17" s="4">
        <v>439</v>
      </c>
      <c r="D17" s="5">
        <f t="shared" si="1"/>
        <v>146.33333333333334</v>
      </c>
      <c r="E17" s="4">
        <v>307</v>
      </c>
      <c r="F17" s="5">
        <f t="shared" si="2"/>
        <v>102.33333333333333</v>
      </c>
      <c r="G17" s="4">
        <v>263</v>
      </c>
      <c r="H17" s="5">
        <f t="shared" si="3"/>
        <v>87.666666666666671</v>
      </c>
      <c r="I17" s="119"/>
    </row>
    <row r="18" spans="1:9" ht="17.399999999999999" thickBot="1" x14ac:dyDescent="0.35">
      <c r="A18">
        <v>54730</v>
      </c>
      <c r="B18" s="25" t="s">
        <v>135</v>
      </c>
      <c r="C18" s="4">
        <v>470</v>
      </c>
      <c r="D18" s="5">
        <f t="shared" si="1"/>
        <v>156.66666666666666</v>
      </c>
      <c r="E18" s="4">
        <v>329</v>
      </c>
      <c r="F18" s="5">
        <f t="shared" si="2"/>
        <v>109.66666666666667</v>
      </c>
      <c r="G18" s="4">
        <v>282</v>
      </c>
      <c r="H18" s="5">
        <f t="shared" si="3"/>
        <v>94</v>
      </c>
      <c r="I18" s="119"/>
    </row>
    <row r="19" spans="1:9" ht="17.399999999999999" thickBot="1" x14ac:dyDescent="0.35">
      <c r="A19">
        <v>59176</v>
      </c>
      <c r="B19" s="25" t="s">
        <v>74</v>
      </c>
      <c r="C19" s="4">
        <v>502</v>
      </c>
      <c r="D19" s="5">
        <f t="shared" si="1"/>
        <v>167.33333333333334</v>
      </c>
      <c r="E19" s="4">
        <v>351</v>
      </c>
      <c r="F19" s="5">
        <f t="shared" si="2"/>
        <v>117</v>
      </c>
      <c r="G19" s="4">
        <v>301</v>
      </c>
      <c r="H19" s="5">
        <f t="shared" si="3"/>
        <v>100.33333333333333</v>
      </c>
      <c r="I19" s="119"/>
    </row>
    <row r="20" spans="1:9" ht="17.399999999999999" thickBot="1" x14ac:dyDescent="0.35">
      <c r="A20">
        <v>63623</v>
      </c>
      <c r="B20" s="25" t="s">
        <v>175</v>
      </c>
      <c r="C20" s="4">
        <v>533</v>
      </c>
      <c r="D20" s="5">
        <f t="shared" si="1"/>
        <v>177.66666666666666</v>
      </c>
      <c r="E20" s="4">
        <v>373</v>
      </c>
      <c r="F20" s="5">
        <f t="shared" si="2"/>
        <v>124.33333333333333</v>
      </c>
      <c r="G20" s="4">
        <v>320</v>
      </c>
      <c r="H20" s="5">
        <f t="shared" si="3"/>
        <v>106.66666666666667</v>
      </c>
      <c r="I20" s="119"/>
    </row>
    <row r="21" spans="1:9" ht="17.399999999999999" thickBot="1" x14ac:dyDescent="0.35">
      <c r="A21">
        <v>68068</v>
      </c>
      <c r="B21" s="25" t="s">
        <v>176</v>
      </c>
      <c r="C21" s="4">
        <v>564</v>
      </c>
      <c r="D21" s="5">
        <f t="shared" si="1"/>
        <v>188</v>
      </c>
      <c r="E21" s="4">
        <v>395</v>
      </c>
      <c r="F21" s="5">
        <f t="shared" si="2"/>
        <v>131.66666666666666</v>
      </c>
      <c r="G21" s="4">
        <v>338</v>
      </c>
      <c r="H21" s="5">
        <f t="shared" si="3"/>
        <v>112.66666666666667</v>
      </c>
      <c r="I21" s="119"/>
    </row>
  </sheetData>
  <sheetProtection sheet="1" objects="1" scenarios="1"/>
  <mergeCells count="5">
    <mergeCell ref="B1:H1"/>
    <mergeCell ref="B2:B3"/>
    <mergeCell ref="C2:D2"/>
    <mergeCell ref="E2:F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20F7-8F30-4113-9EC0-4FD01CFD136A}">
  <dimension ref="A1:D11"/>
  <sheetViews>
    <sheetView workbookViewId="0">
      <selection sqref="A1:D1"/>
    </sheetView>
  </sheetViews>
  <sheetFormatPr baseColWidth="10" defaultRowHeight="14.4" x14ac:dyDescent="0.3"/>
  <cols>
    <col min="1" max="1" width="15.44140625" bestFit="1" customWidth="1"/>
    <col min="2" max="2" width="23.109375" customWidth="1"/>
    <col min="3" max="3" width="25.109375" customWidth="1"/>
    <col min="4" max="4" width="29.44140625" customWidth="1"/>
  </cols>
  <sheetData>
    <row r="1" spans="1:4" ht="17.399999999999999" thickBot="1" x14ac:dyDescent="0.35">
      <c r="A1" s="162" t="s">
        <v>121</v>
      </c>
      <c r="B1" s="163"/>
      <c r="C1" s="163"/>
      <c r="D1" s="164"/>
    </row>
    <row r="2" spans="1:4" ht="16.8" x14ac:dyDescent="0.3">
      <c r="A2" s="169" t="s">
        <v>122</v>
      </c>
      <c r="B2" s="165" t="s">
        <v>123</v>
      </c>
      <c r="C2" s="165" t="s">
        <v>124</v>
      </c>
      <c r="D2" s="106" t="s">
        <v>125</v>
      </c>
    </row>
    <row r="3" spans="1:4" ht="17.399999999999999" thickBot="1" x14ac:dyDescent="0.35">
      <c r="A3" s="170"/>
      <c r="B3" s="166"/>
      <c r="C3" s="166"/>
      <c r="D3" s="107" t="s">
        <v>126</v>
      </c>
    </row>
    <row r="4" spans="1:4" ht="17.399999999999999" thickBot="1" x14ac:dyDescent="0.35">
      <c r="A4" s="25" t="s">
        <v>127</v>
      </c>
      <c r="B4" s="5">
        <v>2</v>
      </c>
      <c r="C4" s="5">
        <v>6.5</v>
      </c>
      <c r="D4" s="5">
        <v>1.5</v>
      </c>
    </row>
    <row r="5" spans="1:4" ht="17.399999999999999" thickBot="1" x14ac:dyDescent="0.35">
      <c r="A5" s="25" t="s">
        <v>128</v>
      </c>
      <c r="B5" s="5">
        <v>4</v>
      </c>
      <c r="C5" s="5">
        <v>7</v>
      </c>
      <c r="D5" s="5">
        <v>2</v>
      </c>
    </row>
    <row r="6" spans="1:4" ht="17.399999999999999" thickBot="1" x14ac:dyDescent="0.35">
      <c r="A6" s="25" t="s">
        <v>129</v>
      </c>
      <c r="B6" s="5">
        <v>5.2</v>
      </c>
      <c r="C6" s="5">
        <v>7.6</v>
      </c>
      <c r="D6" s="5">
        <v>3.6</v>
      </c>
    </row>
    <row r="7" spans="1:4" ht="17.399999999999999" thickBot="1" x14ac:dyDescent="0.35">
      <c r="A7" s="25" t="s">
        <v>130</v>
      </c>
      <c r="B7" s="5">
        <v>6.3</v>
      </c>
      <c r="C7" s="5">
        <v>8.8000000000000007</v>
      </c>
      <c r="D7" s="5">
        <v>5.8</v>
      </c>
    </row>
    <row r="8" spans="1:4" ht="17.399999999999999" thickBot="1" x14ac:dyDescent="0.35">
      <c r="A8" s="25" t="s">
        <v>131</v>
      </c>
      <c r="B8" s="5">
        <v>7.3</v>
      </c>
      <c r="C8" s="5">
        <v>8.8000000000000007</v>
      </c>
      <c r="D8" s="5">
        <v>8.8000000000000007</v>
      </c>
    </row>
    <row r="9" spans="1:4" ht="17.399999999999999" thickBot="1" x14ac:dyDescent="0.35">
      <c r="A9" s="25" t="s">
        <v>132</v>
      </c>
      <c r="B9" s="5">
        <v>8.4</v>
      </c>
      <c r="C9" s="5">
        <v>10</v>
      </c>
      <c r="D9" s="5">
        <v>10</v>
      </c>
    </row>
    <row r="10" spans="1:4" ht="17.399999999999999" thickBot="1" x14ac:dyDescent="0.35">
      <c r="A10" s="25" t="s">
        <v>133</v>
      </c>
      <c r="B10" s="5">
        <v>9</v>
      </c>
      <c r="C10" s="5">
        <v>12</v>
      </c>
      <c r="D10" s="5">
        <v>12</v>
      </c>
    </row>
    <row r="11" spans="1:4" ht="17.399999999999999" thickBot="1" x14ac:dyDescent="0.35">
      <c r="A11" s="25" t="s">
        <v>134</v>
      </c>
      <c r="B11" s="5">
        <v>10</v>
      </c>
      <c r="C11" s="5">
        <v>13</v>
      </c>
      <c r="D11" s="5">
        <v>13</v>
      </c>
    </row>
  </sheetData>
  <sheetProtection sheet="1" objects="1" scenarios="1"/>
  <mergeCells count="4">
    <mergeCell ref="A1:D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Calcul des frais</vt:lpstr>
      <vt:lpstr>Scolarité</vt:lpstr>
      <vt:lpstr>Pédagogique</vt:lpstr>
      <vt:lpstr>Voyage</vt:lpstr>
      <vt:lpstr>Cantine 23-24</vt:lpstr>
      <vt:lpstr>ALAE primaire</vt:lpstr>
      <vt:lpstr>ALSH primaire</vt:lpstr>
      <vt:lpstr>_</vt:lpstr>
      <vt:lpstr>Niveau_Classe</vt:lpstr>
      <vt:lpstr>Oui_Non</vt:lpstr>
      <vt:lpstr>PAS_DE_CLASSE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Nicolas VIAUD</cp:lastModifiedBy>
  <dcterms:created xsi:type="dcterms:W3CDTF">2015-06-05T18:19:34Z</dcterms:created>
  <dcterms:modified xsi:type="dcterms:W3CDTF">2024-02-11T14:39:43Z</dcterms:modified>
</cp:coreProperties>
</file>